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EsteLivro"/>
  <mc:AlternateContent xmlns:mc="http://schemas.openxmlformats.org/markup-compatibility/2006">
    <mc:Choice Requires="x15">
      <x15ac:absPath xmlns:x15ac="http://schemas.microsoft.com/office/spreadsheetml/2010/11/ac" url="C:\Users\Atusa\Documents\AATUSA FICHAS TÉCNICAS 20180423 a 20240404\19-INFORMACIÓN TÉCNICA Fichas Técnica ID\"/>
    </mc:Choice>
  </mc:AlternateContent>
  <xr:revisionPtr revIDLastSave="0" documentId="13_ncr:1_{209F2C83-149E-4579-BEFD-210CF3A5343C}" xr6:coauthVersionLast="47" xr6:coauthVersionMax="47" xr10:uidLastSave="{00000000-0000-0000-0000-000000000000}"/>
  <workbookProtection workbookPassword="E1FF" lockStructure="1"/>
  <bookViews>
    <workbookView xWindow="-103" yWindow="-103" windowWidth="33120" windowHeight="18120" tabRatio="947" xr2:uid="{00000000-000D-0000-FFFF-FFFF00000000}"/>
  </bookViews>
  <sheets>
    <sheet name="Cálc. Sist. Extinção Automática" sheetId="65037" r:id="rId1"/>
    <sheet name="Curvas da Instalação" sheetId="65052" r:id="rId2"/>
    <sheet name="Quadro 1" sheetId="65028" r:id="rId3"/>
    <sheet name="Quadro 2" sheetId="65053" r:id="rId4"/>
    <sheet name="Quadros 3 a 5-RTSCIE" sheetId="65046" r:id="rId5"/>
    <sheet name="Quadros 3 a 5-EN 12845" sheetId="65051" r:id="rId6"/>
    <sheet name="Quadros 3 a 6-NFPA 13" sheetId="65038" r:id="rId7"/>
    <sheet name="Gráficos 1 e 2-NFPA 13" sheetId="65042" r:id="rId8"/>
    <sheet name="Instruções" sheetId="65044" r:id="rId9"/>
    <sheet name="Procedimento" sheetId="65049" r:id="rId10"/>
    <sheet name="Conversões" sheetId="65050" r:id="rId11"/>
  </sheets>
  <definedNames>
    <definedName name="Print_Area" localSheetId="0">'Cálc. Sist. Extinção Automática'!$A$1:$AR$57</definedName>
    <definedName name="Print_Area" localSheetId="10">Conversões!$A$1:$K$35</definedName>
    <definedName name="Print_Area" localSheetId="1">'Curvas da Instalação'!$A$1:$U$45</definedName>
    <definedName name="Print_Area" localSheetId="7">'Gráficos 1 e 2-NFPA 13'!$A$1:$O$38</definedName>
    <definedName name="Print_Area" localSheetId="8">Instruções!$A$1:$W$104</definedName>
    <definedName name="Print_Area" localSheetId="9">Procedimento!$A$1:$O$90</definedName>
    <definedName name="Print_Area" localSheetId="2">'Quadro 1'!$A$1:$V$37</definedName>
    <definedName name="Print_Area" localSheetId="5">'Quadros 3 a 5-EN 12845'!$A$1:$M$67</definedName>
    <definedName name="Print_Area" localSheetId="4">'Quadros 3 a 5-RTSCIE'!$A$1:$M$67</definedName>
    <definedName name="Print_Area" localSheetId="6">'Quadros 3 a 6-NFPA 13'!$A$1:$M$67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X55" i="65037" l="1"/>
  <c r="CY55" i="65037"/>
  <c r="CX56" i="65037"/>
  <c r="CY56" i="65037"/>
  <c r="CX57" i="65037"/>
  <c r="CY57" i="65037"/>
  <c r="CX58" i="65037"/>
  <c r="CY58" i="65037"/>
  <c r="CX59" i="65037"/>
  <c r="CY59" i="65037"/>
  <c r="CX60" i="65037"/>
  <c r="CY60" i="65037"/>
  <c r="CX61" i="65037"/>
  <c r="CY61" i="65037"/>
  <c r="CX62" i="65037"/>
  <c r="CY62" i="65037"/>
  <c r="CX63" i="65037"/>
  <c r="CY63" i="65037"/>
  <c r="CX64" i="65037"/>
  <c r="CY64" i="65037"/>
  <c r="CX65" i="65037"/>
  <c r="CY65" i="65037"/>
  <c r="CX66" i="65037"/>
  <c r="CY66" i="65037"/>
  <c r="CX67" i="65037"/>
  <c r="CY67" i="65037"/>
  <c r="CX68" i="65037"/>
  <c r="CY68" i="65037"/>
  <c r="CX69" i="65037"/>
  <c r="CY69" i="65037"/>
  <c r="CX70" i="65037"/>
  <c r="CY70" i="65037"/>
  <c r="CX71" i="65037"/>
  <c r="CY71" i="65037"/>
  <c r="CX72" i="65037"/>
  <c r="CY72" i="65037"/>
  <c r="CX73" i="65037"/>
  <c r="CY73" i="65037"/>
  <c r="CX74" i="65037"/>
  <c r="CY74" i="65037"/>
  <c r="CX75" i="65037"/>
  <c r="CY75" i="65037"/>
  <c r="CX76" i="65037"/>
  <c r="CY76" i="65037"/>
  <c r="CX77" i="65037"/>
  <c r="CY77" i="65037"/>
  <c r="CX78" i="65037"/>
  <c r="CY78" i="65037"/>
  <c r="CY54" i="65037"/>
  <c r="DR25" i="65037"/>
  <c r="CX54" i="65037"/>
  <c r="DQ25" i="65037"/>
  <c r="AX8" i="65037" l="1"/>
  <c r="I27" i="65050"/>
  <c r="AX18" i="65037"/>
  <c r="A5" i="65037"/>
  <c r="P13" i="65037"/>
  <c r="AX23" i="65037" s="1"/>
  <c r="AQ23" i="65037" s="1"/>
  <c r="AG29" i="65037" l="1"/>
  <c r="AG30" i="65037"/>
  <c r="AG31" i="65037"/>
  <c r="AG32" i="65037"/>
  <c r="AG33" i="65037"/>
  <c r="AG34" i="65037"/>
  <c r="AG35" i="65037"/>
  <c r="AG36" i="65037"/>
  <c r="AG37" i="65037"/>
  <c r="AG38" i="65037"/>
  <c r="AG39" i="65037"/>
  <c r="AG40" i="65037"/>
  <c r="AG41" i="65037"/>
  <c r="AG42" i="65037"/>
  <c r="AG43" i="65037"/>
  <c r="AG44" i="65037"/>
  <c r="AG45" i="65037"/>
  <c r="AG46" i="65037"/>
  <c r="AG47" i="65037"/>
  <c r="AG48" i="65037"/>
  <c r="AG49" i="65037"/>
  <c r="AG25" i="65037"/>
  <c r="FF25" i="65037" l="1"/>
  <c r="FF54" i="65037" s="1"/>
  <c r="FF26" i="65037"/>
  <c r="FF55" i="65037" s="1"/>
  <c r="AG16" i="65037" l="1"/>
  <c r="J13" i="65037" l="1"/>
  <c r="Q12" i="65037" l="1"/>
  <c r="J12" i="65037" s="1"/>
  <c r="S33" i="65052" l="1"/>
  <c r="AX7" i="65037" l="1"/>
  <c r="AW12" i="65037" s="1"/>
  <c r="BD12" i="65037" s="1"/>
  <c r="AV137" i="65037" l="1"/>
  <c r="AV138" i="65037"/>
  <c r="AV139" i="65037"/>
  <c r="AV140" i="65037"/>
  <c r="AV131" i="65037"/>
  <c r="AV132" i="65037"/>
  <c r="AV133" i="65037"/>
  <c r="AV134" i="65037"/>
  <c r="AV135" i="65037"/>
  <c r="AV136" i="65037"/>
  <c r="AV141" i="65037"/>
  <c r="AV142" i="65037"/>
  <c r="AV143" i="65037"/>
  <c r="AV144" i="65037"/>
  <c r="AV145" i="65037"/>
  <c r="AV146" i="65037"/>
  <c r="AV147" i="65037"/>
  <c r="AV148" i="65037"/>
  <c r="AV149" i="65037"/>
  <c r="AV150" i="65037"/>
  <c r="AV151" i="65037"/>
  <c r="AV152" i="65037"/>
  <c r="AV153" i="65037"/>
  <c r="AV154" i="65037"/>
  <c r="AV130" i="65037"/>
  <c r="D8" i="65053" l="1"/>
  <c r="D14" i="65053" l="1"/>
  <c r="E14" i="65053"/>
  <c r="D15" i="65053"/>
  <c r="E15" i="65053"/>
  <c r="D16" i="65053"/>
  <c r="E16" i="65053"/>
  <c r="D17" i="65053"/>
  <c r="E17" i="65053"/>
  <c r="D18" i="65053"/>
  <c r="E18" i="65053"/>
  <c r="D19" i="65053"/>
  <c r="E19" i="65053"/>
  <c r="D20" i="65053"/>
  <c r="E20" i="65053"/>
  <c r="D21" i="65053"/>
  <c r="E21" i="65053"/>
  <c r="D22" i="65053"/>
  <c r="E22" i="65053"/>
  <c r="D23" i="65053"/>
  <c r="E23" i="65053"/>
  <c r="D24" i="65053"/>
  <c r="E24" i="65053"/>
  <c r="D25" i="65053"/>
  <c r="E25" i="65053"/>
  <c r="D26" i="65053"/>
  <c r="E26" i="65053"/>
  <c r="D27" i="65053"/>
  <c r="E27" i="65053"/>
  <c r="D28" i="65053"/>
  <c r="E28" i="65053"/>
  <c r="D29" i="65053"/>
  <c r="E29" i="65053"/>
  <c r="D30" i="65053"/>
  <c r="E30" i="65053"/>
  <c r="D31" i="65053"/>
  <c r="E31" i="65053"/>
  <c r="D32" i="65053"/>
  <c r="E32" i="65053"/>
  <c r="D33" i="65053"/>
  <c r="E33" i="65053"/>
  <c r="D34" i="65053"/>
  <c r="E34" i="65053"/>
  <c r="D35" i="65053"/>
  <c r="E35" i="65053"/>
  <c r="D36" i="65053"/>
  <c r="E36" i="65053"/>
  <c r="D37" i="65053"/>
  <c r="E37" i="65053"/>
  <c r="E13" i="65053"/>
  <c r="D13" i="65053"/>
  <c r="BU12" i="65053"/>
  <c r="AN12" i="65053" s="1"/>
  <c r="BT12" i="65053"/>
  <c r="AM12" i="65053" s="1"/>
  <c r="BS12" i="65053"/>
  <c r="AL12" i="65053" s="1"/>
  <c r="BR12" i="65053"/>
  <c r="AK12" i="65053" s="1"/>
  <c r="BQ12" i="65053"/>
  <c r="AJ12" i="65053" s="1"/>
  <c r="BP12" i="65053"/>
  <c r="AI12" i="65053" s="1"/>
  <c r="BO12" i="65053"/>
  <c r="BN12" i="65053"/>
  <c r="AG12" i="65053" s="1"/>
  <c r="BM12" i="65053"/>
  <c r="AF12" i="65053" s="1"/>
  <c r="BL12" i="65053"/>
  <c r="AE12" i="65053" s="1"/>
  <c r="BK12" i="65053"/>
  <c r="AD12" i="65053" s="1"/>
  <c r="BJ12" i="65053"/>
  <c r="AC12" i="65053" s="1"/>
  <c r="BI12" i="65053"/>
  <c r="AB12" i="65053" s="1"/>
  <c r="BH12" i="65053"/>
  <c r="AA12" i="65053" s="1"/>
  <c r="BG12" i="65053"/>
  <c r="Z12" i="65053" s="1"/>
  <c r="BF12" i="65053"/>
  <c r="Y12" i="65053" s="1"/>
  <c r="BE12" i="65053"/>
  <c r="X12" i="65053" s="1"/>
  <c r="BD12" i="65053"/>
  <c r="W12" i="65053" s="1"/>
  <c r="BC12" i="65053"/>
  <c r="V12" i="65053" s="1"/>
  <c r="BB12" i="65053"/>
  <c r="U12" i="65053" s="1"/>
  <c r="BA12" i="65053"/>
  <c r="T12" i="65053" s="1"/>
  <c r="AZ12" i="65053"/>
  <c r="S12" i="65053" s="1"/>
  <c r="AY12" i="65053"/>
  <c r="R12" i="65053" s="1"/>
  <c r="AX12" i="65053"/>
  <c r="Q12" i="65053" s="1"/>
  <c r="AW12" i="65053"/>
  <c r="P12" i="65053" s="1"/>
  <c r="AV12" i="65053"/>
  <c r="O12" i="65053" s="1"/>
  <c r="AU12" i="65053"/>
  <c r="N12" i="65053" s="1"/>
  <c r="AT12" i="65053"/>
  <c r="M12" i="65053" s="1"/>
  <c r="AS12" i="65053"/>
  <c r="L12" i="65053" s="1"/>
  <c r="AR12" i="65053"/>
  <c r="K12" i="65053" s="1"/>
  <c r="AH12" i="65053"/>
  <c r="BU5" i="65053"/>
  <c r="AN5" i="65053" s="1"/>
  <c r="BT5" i="65053"/>
  <c r="AM5" i="65053" s="1"/>
  <c r="BS5" i="65053"/>
  <c r="AL5" i="65053" s="1"/>
  <c r="BR5" i="65053"/>
  <c r="AK5" i="65053" s="1"/>
  <c r="BQ5" i="65053"/>
  <c r="AJ5" i="65053" s="1"/>
  <c r="BP5" i="65053"/>
  <c r="AI5" i="65053" s="1"/>
  <c r="BO5" i="65053"/>
  <c r="AH5" i="65053" s="1"/>
  <c r="BN5" i="65053"/>
  <c r="AG5" i="65053" s="1"/>
  <c r="BM5" i="65053"/>
  <c r="AF5" i="65053" s="1"/>
  <c r="BL5" i="65053"/>
  <c r="AE5" i="65053" s="1"/>
  <c r="BK5" i="65053"/>
  <c r="AD5" i="65053" s="1"/>
  <c r="BJ5" i="65053"/>
  <c r="AC5" i="65053" s="1"/>
  <c r="BI5" i="65053"/>
  <c r="AB5" i="65053" s="1"/>
  <c r="BH5" i="65053"/>
  <c r="AA5" i="65053" s="1"/>
  <c r="BG5" i="65053"/>
  <c r="Z5" i="65053" s="1"/>
  <c r="BF5" i="65053"/>
  <c r="Y5" i="65053" s="1"/>
  <c r="BE5" i="65053"/>
  <c r="X5" i="65053" s="1"/>
  <c r="BD5" i="65053"/>
  <c r="W5" i="65053" s="1"/>
  <c r="BC5" i="65053"/>
  <c r="V5" i="65053" s="1"/>
  <c r="BB5" i="65053"/>
  <c r="U5" i="65053" s="1"/>
  <c r="BA5" i="65053"/>
  <c r="T5" i="65053" s="1"/>
  <c r="AZ5" i="65053"/>
  <c r="S5" i="65053" s="1"/>
  <c r="AY5" i="65053"/>
  <c r="R5" i="65053" s="1"/>
  <c r="AX5" i="65053"/>
  <c r="Q5" i="65053" s="1"/>
  <c r="AW5" i="65053"/>
  <c r="P5" i="65053" s="1"/>
  <c r="AV5" i="65053"/>
  <c r="O5" i="65053" s="1"/>
  <c r="AU5" i="65053"/>
  <c r="N5" i="65053" s="1"/>
  <c r="AT5" i="65053"/>
  <c r="M5" i="65053" s="1"/>
  <c r="AS5" i="65053"/>
  <c r="L5" i="65053" s="1"/>
  <c r="AR5" i="65053"/>
  <c r="K5" i="65053" s="1"/>
  <c r="P16" i="65037" l="1"/>
  <c r="Q16" i="65037" l="1"/>
  <c r="C50" i="65052" l="1"/>
  <c r="W50" i="65052" s="1"/>
  <c r="AQ7" i="65037" l="1"/>
  <c r="X59" i="65052" l="1"/>
  <c r="X60" i="65052"/>
  <c r="X61" i="65052"/>
  <c r="X62" i="65052"/>
  <c r="X63" i="65052"/>
  <c r="X64" i="65052"/>
  <c r="X65" i="65052"/>
  <c r="X66" i="65052"/>
  <c r="X67" i="65052"/>
  <c r="X58" i="65052"/>
  <c r="Y60" i="65052"/>
  <c r="Y61" i="65052"/>
  <c r="Y62" i="65052"/>
  <c r="Y63" i="65052"/>
  <c r="Y64" i="65052"/>
  <c r="Y65" i="65052"/>
  <c r="Y66" i="65052"/>
  <c r="Y67" i="65052"/>
  <c r="W65" i="65052" l="1"/>
  <c r="W61" i="65052"/>
  <c r="W67" i="65052"/>
  <c r="W63" i="65052"/>
  <c r="W66" i="65052"/>
  <c r="W62" i="65052"/>
  <c r="W64" i="65052"/>
  <c r="W60" i="65052"/>
  <c r="Z59" i="65052"/>
  <c r="AA59" i="65052" s="1"/>
  <c r="Z60" i="65052"/>
  <c r="AC60" i="65052" s="1"/>
  <c r="Z61" i="65052"/>
  <c r="AC61" i="65052" s="1"/>
  <c r="Z62" i="65052"/>
  <c r="AC62" i="65052" s="1"/>
  <c r="Z63" i="65052"/>
  <c r="AC63" i="65052" s="1"/>
  <c r="Z64" i="65052"/>
  <c r="AC64" i="65052" s="1"/>
  <c r="Z65" i="65052"/>
  <c r="AC65" i="65052" s="1"/>
  <c r="Z66" i="65052"/>
  <c r="AC66" i="65052" s="1"/>
  <c r="Z67" i="65052"/>
  <c r="AC67" i="65052" s="1"/>
  <c r="Z58" i="65052"/>
  <c r="AC58" i="65052" s="1"/>
  <c r="AC75" i="65052"/>
  <c r="AC76" i="65052"/>
  <c r="AC77" i="65052"/>
  <c r="AC78" i="65052"/>
  <c r="AC79" i="65052"/>
  <c r="AC80" i="65052"/>
  <c r="AC81" i="65052"/>
  <c r="AC82" i="65052"/>
  <c r="AC83" i="65052"/>
  <c r="AC84" i="65052"/>
  <c r="AC85" i="65052"/>
  <c r="AC86" i="65052"/>
  <c r="AC87" i="65052"/>
  <c r="AC88" i="65052"/>
  <c r="AC89" i="65052"/>
  <c r="AC90" i="65052"/>
  <c r="AC91" i="65052"/>
  <c r="AC92" i="65052"/>
  <c r="AC93" i="65052"/>
  <c r="AC94" i="65052"/>
  <c r="AC95" i="65052"/>
  <c r="AC96" i="65052"/>
  <c r="AC97" i="65052"/>
  <c r="AC74" i="65052"/>
  <c r="AC73" i="65052"/>
  <c r="AA66" i="65052" l="1"/>
  <c r="AB67" i="65052"/>
  <c r="AA62" i="65052"/>
  <c r="AB63" i="65052"/>
  <c r="AA63" i="65052"/>
  <c r="AB66" i="65052"/>
  <c r="AB62" i="65052"/>
  <c r="AA67" i="65052"/>
  <c r="AB64" i="65052"/>
  <c r="AB60" i="65052"/>
  <c r="AA58" i="65052"/>
  <c r="AB65" i="65052"/>
  <c r="AA64" i="65052"/>
  <c r="AB61" i="65052"/>
  <c r="AA60" i="65052"/>
  <c r="AB58" i="65052"/>
  <c r="AA65" i="65052"/>
  <c r="AA61" i="65052"/>
  <c r="AC59" i="65052"/>
  <c r="AB59" i="65052"/>
  <c r="C58" i="65052"/>
  <c r="F54" i="65052"/>
  <c r="L63" i="65052" l="1"/>
  <c r="L67" i="65052"/>
  <c r="L62" i="65052"/>
  <c r="L66" i="65052"/>
  <c r="L60" i="65052"/>
  <c r="L64" i="65052"/>
  <c r="L61" i="65052"/>
  <c r="L65" i="65052"/>
  <c r="N62" i="65052"/>
  <c r="I60" i="65052"/>
  <c r="AK60" i="65052" s="1"/>
  <c r="J66" i="65052"/>
  <c r="N59" i="65052"/>
  <c r="N63" i="65052"/>
  <c r="N67" i="65052"/>
  <c r="I61" i="65052"/>
  <c r="AK61" i="65052" s="1"/>
  <c r="J67" i="65052"/>
  <c r="I66" i="65052"/>
  <c r="AK66" i="65052" s="1"/>
  <c r="J64" i="65052"/>
  <c r="N61" i="65052"/>
  <c r="N65" i="65052"/>
  <c r="I63" i="65052"/>
  <c r="AK63" i="65052" s="1"/>
  <c r="I67" i="65052"/>
  <c r="AK67" i="65052" s="1"/>
  <c r="J61" i="65052"/>
  <c r="J65" i="65052"/>
  <c r="N66" i="65052"/>
  <c r="I64" i="65052"/>
  <c r="AK64" i="65052" s="1"/>
  <c r="J62" i="65052"/>
  <c r="I65" i="65052"/>
  <c r="AK65" i="65052" s="1"/>
  <c r="J63" i="65052"/>
  <c r="N60" i="65052"/>
  <c r="N64" i="65052"/>
  <c r="N58" i="65052"/>
  <c r="I62" i="65052"/>
  <c r="AK62" i="65052" s="1"/>
  <c r="J60" i="65052"/>
  <c r="AA84" i="65052"/>
  <c r="AA72" i="65052"/>
  <c r="AA97" i="65052"/>
  <c r="AB97" i="65052"/>
  <c r="AA94" i="65052"/>
  <c r="AB94" i="65052"/>
  <c r="AA95" i="65052"/>
  <c r="AB95" i="65052"/>
  <c r="AA96" i="65052"/>
  <c r="AB96" i="65052"/>
  <c r="AA75" i="65052"/>
  <c r="AB75" i="65052"/>
  <c r="AA76" i="65052"/>
  <c r="AB76" i="65052"/>
  <c r="AA77" i="65052"/>
  <c r="AB77" i="65052"/>
  <c r="AA78" i="65052"/>
  <c r="AB78" i="65052"/>
  <c r="AA79" i="65052"/>
  <c r="AB79" i="65052"/>
  <c r="AA80" i="65052"/>
  <c r="AB80" i="65052"/>
  <c r="AA81" i="65052"/>
  <c r="AB81" i="65052"/>
  <c r="AA82" i="65052"/>
  <c r="AB82" i="65052"/>
  <c r="AA83" i="65052"/>
  <c r="AB83" i="65052"/>
  <c r="AB84" i="65052"/>
  <c r="AA85" i="65052"/>
  <c r="AB85" i="65052"/>
  <c r="AA86" i="65052"/>
  <c r="AB86" i="65052"/>
  <c r="AA87" i="65052"/>
  <c r="AB87" i="65052"/>
  <c r="AA88" i="65052"/>
  <c r="AB88" i="65052"/>
  <c r="AA89" i="65052"/>
  <c r="AB89" i="65052"/>
  <c r="AA90" i="65052"/>
  <c r="AB90" i="65052"/>
  <c r="AA91" i="65052"/>
  <c r="AB91" i="65052"/>
  <c r="AA92" i="65052"/>
  <c r="AB92" i="65052"/>
  <c r="AA93" i="65052"/>
  <c r="AB93" i="65052"/>
  <c r="AA74" i="65052"/>
  <c r="AB74" i="65052"/>
  <c r="AB73" i="65052"/>
  <c r="AA73" i="65052"/>
  <c r="AG67" i="65052" l="1"/>
  <c r="AG60" i="65052"/>
  <c r="N68" i="65052"/>
  <c r="AG51" i="65052" s="1"/>
  <c r="AG64" i="65052"/>
  <c r="AG63" i="65052"/>
  <c r="AN62" i="65052"/>
  <c r="AP62" i="65052"/>
  <c r="AQ62" i="65052"/>
  <c r="AQ63" i="65052"/>
  <c r="AN63" i="65052"/>
  <c r="AP63" i="65052"/>
  <c r="AN65" i="65052"/>
  <c r="AP65" i="65052"/>
  <c r="AQ65" i="65052"/>
  <c r="AG65" i="65052"/>
  <c r="AP66" i="65052"/>
  <c r="AN66" i="65052"/>
  <c r="AQ66" i="65052"/>
  <c r="AN60" i="65052"/>
  <c r="AP60" i="65052"/>
  <c r="AQ60" i="65052"/>
  <c r="AN64" i="65052"/>
  <c r="AP64" i="65052"/>
  <c r="AQ64" i="65052"/>
  <c r="AQ67" i="65052"/>
  <c r="AP67" i="65052"/>
  <c r="AN67" i="65052"/>
  <c r="AN61" i="65052"/>
  <c r="AQ61" i="65052"/>
  <c r="AP61" i="65052"/>
  <c r="AG62" i="65052"/>
  <c r="AG61" i="65052"/>
  <c r="AG66" i="65052"/>
  <c r="Z88" i="65052"/>
  <c r="AD88" i="65052" s="1"/>
  <c r="Z80" i="65052"/>
  <c r="AD80" i="65052" s="1"/>
  <c r="Z96" i="65052"/>
  <c r="AD96" i="65052" s="1"/>
  <c r="Z83" i="65052"/>
  <c r="AD83" i="65052" s="1"/>
  <c r="Z81" i="65052"/>
  <c r="AD81" i="65052" s="1"/>
  <c r="Z79" i="65052"/>
  <c r="AD79" i="65052" s="1"/>
  <c r="Z75" i="65052"/>
  <c r="AD75" i="65052" s="1"/>
  <c r="Z95" i="65052"/>
  <c r="AD95" i="65052" s="1"/>
  <c r="Z97" i="65052"/>
  <c r="AD97" i="65052" s="1"/>
  <c r="Z91" i="65052"/>
  <c r="AD91" i="65052" s="1"/>
  <c r="Z87" i="65052"/>
  <c r="AD87" i="65052" s="1"/>
  <c r="Z74" i="65052"/>
  <c r="AD74" i="65052" s="1"/>
  <c r="Z92" i="65052"/>
  <c r="AD92" i="65052" s="1"/>
  <c r="Z90" i="65052"/>
  <c r="AD90" i="65052" s="1"/>
  <c r="Z86" i="65052"/>
  <c r="AD86" i="65052" s="1"/>
  <c r="Z84" i="65052"/>
  <c r="AD84" i="65052" s="1"/>
  <c r="Z77" i="65052"/>
  <c r="AD77" i="65052" s="1"/>
  <c r="Z93" i="65052"/>
  <c r="AD93" i="65052" s="1"/>
  <c r="Z89" i="65052"/>
  <c r="AD89" i="65052" s="1"/>
  <c r="Z85" i="65052"/>
  <c r="Z73" i="65052"/>
  <c r="Z82" i="65052"/>
  <c r="AD82" i="65052" s="1"/>
  <c r="Z78" i="65052"/>
  <c r="AD78" i="65052" s="1"/>
  <c r="Z76" i="65052"/>
  <c r="AD76" i="65052" s="1"/>
  <c r="Z94" i="65052"/>
  <c r="AD94" i="65052" s="1"/>
  <c r="W72" i="65052"/>
  <c r="AR63" i="65052" l="1"/>
  <c r="AR61" i="65052"/>
  <c r="AR67" i="65052"/>
  <c r="AR65" i="65052"/>
  <c r="AR62" i="65052"/>
  <c r="AR60" i="65052"/>
  <c r="AR66" i="65052"/>
  <c r="AR64" i="65052"/>
  <c r="T33" i="65052" l="1"/>
  <c r="S35" i="65052"/>
  <c r="T35" i="65052" s="1"/>
  <c r="DQ26" i="65037" l="1"/>
  <c r="EH171" i="65037" s="1"/>
  <c r="DR26" i="65037"/>
  <c r="EI171" i="65037" s="1"/>
  <c r="DQ27" i="65037"/>
  <c r="EH172" i="65037" s="1"/>
  <c r="DR27" i="65037"/>
  <c r="EI172" i="65037" s="1"/>
  <c r="DQ28" i="65037"/>
  <c r="EH173" i="65037" s="1"/>
  <c r="DR28" i="65037"/>
  <c r="EI173" i="65037" s="1"/>
  <c r="DQ29" i="65037"/>
  <c r="EH174" i="65037" s="1"/>
  <c r="DR29" i="65037"/>
  <c r="EI174" i="65037" s="1"/>
  <c r="DQ30" i="65037"/>
  <c r="EH175" i="65037" s="1"/>
  <c r="DR30" i="65037"/>
  <c r="EI175" i="65037" s="1"/>
  <c r="DQ31" i="65037"/>
  <c r="EH176" i="65037" s="1"/>
  <c r="DR31" i="65037"/>
  <c r="EI176" i="65037" s="1"/>
  <c r="DQ32" i="65037"/>
  <c r="EH177" i="65037" s="1"/>
  <c r="DR32" i="65037"/>
  <c r="EI177" i="65037" s="1"/>
  <c r="DQ33" i="65037"/>
  <c r="EH178" i="65037" s="1"/>
  <c r="DR33" i="65037"/>
  <c r="EI178" i="65037" s="1"/>
  <c r="DQ34" i="65037"/>
  <c r="EH179" i="65037" s="1"/>
  <c r="DR34" i="65037"/>
  <c r="EI179" i="65037" s="1"/>
  <c r="DQ35" i="65037"/>
  <c r="EH180" i="65037" s="1"/>
  <c r="DR35" i="65037"/>
  <c r="EI180" i="65037" s="1"/>
  <c r="DQ36" i="65037"/>
  <c r="EH181" i="65037" s="1"/>
  <c r="DR36" i="65037"/>
  <c r="EI181" i="65037" s="1"/>
  <c r="DQ37" i="65037"/>
  <c r="EH182" i="65037" s="1"/>
  <c r="DR37" i="65037"/>
  <c r="EI182" i="65037" s="1"/>
  <c r="DQ38" i="65037"/>
  <c r="EH183" i="65037" s="1"/>
  <c r="DR38" i="65037"/>
  <c r="EI183" i="65037" s="1"/>
  <c r="DQ39" i="65037"/>
  <c r="EH184" i="65037" s="1"/>
  <c r="DR39" i="65037"/>
  <c r="EI184" i="65037" s="1"/>
  <c r="DQ40" i="65037"/>
  <c r="EH185" i="65037" s="1"/>
  <c r="DR40" i="65037"/>
  <c r="EI185" i="65037" s="1"/>
  <c r="DQ41" i="65037"/>
  <c r="EH186" i="65037" s="1"/>
  <c r="DR41" i="65037"/>
  <c r="EI186" i="65037" s="1"/>
  <c r="DQ42" i="65037"/>
  <c r="EH187" i="65037" s="1"/>
  <c r="DR42" i="65037"/>
  <c r="EI187" i="65037" s="1"/>
  <c r="DQ43" i="65037"/>
  <c r="EH188" i="65037" s="1"/>
  <c r="DR43" i="65037"/>
  <c r="EI188" i="65037" s="1"/>
  <c r="DQ44" i="65037"/>
  <c r="EH189" i="65037" s="1"/>
  <c r="DR44" i="65037"/>
  <c r="EI189" i="65037" s="1"/>
  <c r="DQ45" i="65037"/>
  <c r="EH190" i="65037" s="1"/>
  <c r="DR45" i="65037"/>
  <c r="EI190" i="65037" s="1"/>
  <c r="DQ46" i="65037"/>
  <c r="EH191" i="65037" s="1"/>
  <c r="DR46" i="65037"/>
  <c r="EI191" i="65037" s="1"/>
  <c r="DQ47" i="65037"/>
  <c r="EH192" i="65037" s="1"/>
  <c r="DR47" i="65037"/>
  <c r="EI192" i="65037" s="1"/>
  <c r="DQ48" i="65037"/>
  <c r="EH193" i="65037" s="1"/>
  <c r="DR48" i="65037"/>
  <c r="EI193" i="65037" s="1"/>
  <c r="DQ49" i="65037"/>
  <c r="EH194" i="65037" s="1"/>
  <c r="DR49" i="65037"/>
  <c r="EI194" i="65037" s="1"/>
  <c r="EI170" i="65037"/>
  <c r="EH170" i="65037"/>
  <c r="S34" i="65052" l="1"/>
  <c r="P33" i="65052"/>
  <c r="T34" i="65052" l="1"/>
  <c r="U35" i="65052"/>
  <c r="U34" i="65052"/>
  <c r="U33" i="65052"/>
  <c r="BJ10" i="65037"/>
  <c r="BK10" i="65037" s="1"/>
  <c r="BJ11" i="65037"/>
  <c r="BK11" i="65037" s="1"/>
  <c r="BM11" i="65037" l="1"/>
  <c r="AX6" i="65037"/>
  <c r="AQ6" i="65037" s="1"/>
  <c r="P15" i="65037"/>
  <c r="AV23" i="65037"/>
  <c r="AP23" i="65037" s="1"/>
  <c r="I18" i="65038" l="1"/>
  <c r="DM68" i="65037"/>
  <c r="DM69" i="65037"/>
  <c r="DM70" i="65037"/>
  <c r="DM71" i="65037"/>
  <c r="DM72" i="65037"/>
  <c r="DM73" i="65037"/>
  <c r="DM74" i="65037"/>
  <c r="DM75" i="65037"/>
  <c r="DM76" i="65037"/>
  <c r="DM77" i="65037"/>
  <c r="DM78" i="65037"/>
  <c r="DM55" i="65037"/>
  <c r="DM56" i="65037"/>
  <c r="DM57" i="65037"/>
  <c r="DM58" i="65037"/>
  <c r="DM59" i="65037"/>
  <c r="DM60" i="65037"/>
  <c r="DM61" i="65037"/>
  <c r="DM62" i="65037"/>
  <c r="DM63" i="65037"/>
  <c r="DM64" i="65037"/>
  <c r="DM65" i="65037"/>
  <c r="DM66" i="65037"/>
  <c r="DM67" i="65037"/>
  <c r="DM54" i="65037"/>
  <c r="DO54" i="65037"/>
  <c r="E25" i="65037" s="1"/>
  <c r="EP116" i="65037"/>
  <c r="EP115" i="65037"/>
  <c r="EP113" i="65037"/>
  <c r="BW139" i="65037"/>
  <c r="BV139" i="65037"/>
  <c r="BW138" i="65037"/>
  <c r="BV138" i="65037"/>
  <c r="BW137" i="65037"/>
  <c r="BV137" i="65037"/>
  <c r="BW136" i="65037"/>
  <c r="BV136" i="65037"/>
  <c r="BW135" i="65037"/>
  <c r="BV135" i="65037"/>
  <c r="BW134" i="65037"/>
  <c r="BV134" i="65037"/>
  <c r="BW133" i="65037"/>
  <c r="BV133" i="65037"/>
  <c r="BW132" i="65037"/>
  <c r="BV132" i="65037"/>
  <c r="BW131" i="65037"/>
  <c r="BV131" i="65037"/>
  <c r="BW130" i="65037"/>
  <c r="BV130" i="65037"/>
  <c r="BW129" i="65037"/>
  <c r="BV129" i="65037"/>
  <c r="BW128" i="65037"/>
  <c r="BV128" i="65037"/>
  <c r="BW127" i="65037"/>
  <c r="BV127" i="65037"/>
  <c r="BW126" i="65037"/>
  <c r="BV126" i="65037"/>
  <c r="BW125" i="65037"/>
  <c r="BV125" i="65037"/>
  <c r="BW124" i="65037"/>
  <c r="BV124" i="65037"/>
  <c r="BW123" i="65037"/>
  <c r="BV123" i="65037"/>
  <c r="BW122" i="65037"/>
  <c r="BV122" i="65037"/>
  <c r="BW121" i="65037"/>
  <c r="BV121" i="65037"/>
  <c r="BW120" i="65037"/>
  <c r="BV120" i="65037"/>
  <c r="BW119" i="65037"/>
  <c r="BV119" i="65037"/>
  <c r="BW118" i="65037"/>
  <c r="BV118" i="65037"/>
  <c r="BW117" i="65037"/>
  <c r="BV117" i="65037"/>
  <c r="BW116" i="65037"/>
  <c r="BV116" i="65037"/>
  <c r="BW115" i="65037"/>
  <c r="BV115" i="65037"/>
  <c r="AZ61" i="65037"/>
  <c r="DO68" i="65037"/>
  <c r="CN26" i="65037"/>
  <c r="CN27" i="65037"/>
  <c r="CN28" i="65037"/>
  <c r="CN29" i="65037"/>
  <c r="CN30" i="65037"/>
  <c r="CN31" i="65037"/>
  <c r="CN32" i="65037"/>
  <c r="CN33" i="65037"/>
  <c r="CN34" i="65037"/>
  <c r="CN35" i="65037"/>
  <c r="CN36" i="65037"/>
  <c r="CN37" i="65037"/>
  <c r="CN38" i="65037"/>
  <c r="CN39" i="65037"/>
  <c r="CN40" i="65037"/>
  <c r="CN41" i="65037"/>
  <c r="CN42" i="65037"/>
  <c r="CN43" i="65037"/>
  <c r="CN44" i="65037"/>
  <c r="CN45" i="65037"/>
  <c r="CN46" i="65037"/>
  <c r="CN47" i="65037"/>
  <c r="CN48" i="65037"/>
  <c r="CN49" i="65037"/>
  <c r="CN25" i="65037"/>
  <c r="EO132" i="65037"/>
  <c r="EO133" i="65037"/>
  <c r="EO134" i="65037"/>
  <c r="EO135" i="65037"/>
  <c r="EO136" i="65037"/>
  <c r="EP132" i="65037"/>
  <c r="EP133" i="65037"/>
  <c r="EP134" i="65037"/>
  <c r="EP135" i="65037"/>
  <c r="EP136" i="65037"/>
  <c r="N22" i="65037"/>
  <c r="F24" i="65050"/>
  <c r="G24" i="65050"/>
  <c r="H24" i="65050"/>
  <c r="I24" i="65050"/>
  <c r="J24" i="65050"/>
  <c r="E25" i="65050"/>
  <c r="G25" i="65050"/>
  <c r="H25" i="65050"/>
  <c r="I25" i="65050"/>
  <c r="J25" i="65050"/>
  <c r="E26" i="65050"/>
  <c r="F26" i="65050"/>
  <c r="H26" i="65050"/>
  <c r="I26" i="65050"/>
  <c r="J26" i="65050"/>
  <c r="E27" i="65050"/>
  <c r="F27" i="65050"/>
  <c r="G27" i="65050"/>
  <c r="J27" i="65050"/>
  <c r="E28" i="65050"/>
  <c r="F28" i="65050"/>
  <c r="G28" i="65050"/>
  <c r="H28" i="65050"/>
  <c r="J28" i="65050"/>
  <c r="E29" i="65050"/>
  <c r="F29" i="65050"/>
  <c r="G29" i="65050"/>
  <c r="H29" i="65050"/>
  <c r="I29" i="65050"/>
  <c r="B11" i="65042"/>
  <c r="D11" i="65042"/>
  <c r="E11" i="65042"/>
  <c r="F11" i="65042"/>
  <c r="C12" i="65042"/>
  <c r="E12" i="65042"/>
  <c r="K12" i="65042"/>
  <c r="D13" i="65042"/>
  <c r="E13" i="65042"/>
  <c r="F13" i="65042"/>
  <c r="J13" i="65042"/>
  <c r="K13" i="65042"/>
  <c r="D20" i="65042"/>
  <c r="K20" i="65042"/>
  <c r="C21" i="65042"/>
  <c r="D21" i="65042" s="1"/>
  <c r="J21" i="65042"/>
  <c r="K21" i="65042" s="1"/>
  <c r="J18" i="65038"/>
  <c r="K18" i="65038"/>
  <c r="I19" i="65038"/>
  <c r="J19" i="65038"/>
  <c r="K19" i="65038"/>
  <c r="I20" i="65038"/>
  <c r="J20" i="65038"/>
  <c r="K20" i="65038"/>
  <c r="I21" i="65038"/>
  <c r="J21" i="65038"/>
  <c r="K21" i="65038"/>
  <c r="J22" i="65038"/>
  <c r="K22" i="65038"/>
  <c r="J23" i="65038"/>
  <c r="K23" i="65038"/>
  <c r="BC4" i="65037"/>
  <c r="BJ4" i="65037"/>
  <c r="FH154" i="65037"/>
  <c r="L16" i="65037"/>
  <c r="AV16" i="65037"/>
  <c r="FI22" i="65037"/>
  <c r="FL22" i="65037" s="1"/>
  <c r="FP22" i="65037" s="1"/>
  <c r="FT22" i="65037" s="1"/>
  <c r="FX22" i="65037" s="1"/>
  <c r="GB22" i="65037" s="1"/>
  <c r="GF22" i="65037" s="1"/>
  <c r="GJ22" i="65037" s="1"/>
  <c r="GN22" i="65037" s="1"/>
  <c r="GR22" i="65037" s="1"/>
  <c r="GV22" i="65037" s="1"/>
  <c r="GZ22" i="65037" s="1"/>
  <c r="HD22" i="65037" s="1"/>
  <c r="HH22" i="65037" s="1"/>
  <c r="HL22" i="65037" s="1"/>
  <c r="HP22" i="65037" s="1"/>
  <c r="HT22" i="65037" s="1"/>
  <c r="HX22" i="65037" s="1"/>
  <c r="IB22" i="65037" s="1"/>
  <c r="IF22" i="65037" s="1"/>
  <c r="IJ22" i="65037" s="1"/>
  <c r="IN22" i="65037" s="1"/>
  <c r="IR22" i="65037" s="1"/>
  <c r="IV22" i="65037" s="1"/>
  <c r="BL25" i="65037"/>
  <c r="BM25" i="65037"/>
  <c r="BN25" i="65037"/>
  <c r="BO25" i="65037"/>
  <c r="BP25" i="65037"/>
  <c r="BQ25" i="65037"/>
  <c r="BR25" i="65037"/>
  <c r="BS25" i="65037"/>
  <c r="BT25" i="65037"/>
  <c r="BU25" i="65037"/>
  <c r="BV25" i="65037"/>
  <c r="BW25" i="65037"/>
  <c r="BX25" i="65037"/>
  <c r="BY25" i="65037"/>
  <c r="BZ25" i="65037"/>
  <c r="CA25" i="65037"/>
  <c r="CB25" i="65037"/>
  <c r="CC25" i="65037"/>
  <c r="CD25" i="65037"/>
  <c r="CE25" i="65037"/>
  <c r="CF25" i="65037"/>
  <c r="CG25" i="65037"/>
  <c r="CH25" i="65037"/>
  <c r="FG25" i="65037"/>
  <c r="BK26" i="65037"/>
  <c r="BN26" i="65037"/>
  <c r="BO26" i="65037"/>
  <c r="BP26" i="65037"/>
  <c r="BQ26" i="65037"/>
  <c r="BR26" i="65037"/>
  <c r="BS26" i="65037"/>
  <c r="BT26" i="65037"/>
  <c r="BU26" i="65037"/>
  <c r="BV26" i="65037"/>
  <c r="BW26" i="65037"/>
  <c r="BX26" i="65037"/>
  <c r="BY26" i="65037"/>
  <c r="BZ26" i="65037"/>
  <c r="CB26" i="65037"/>
  <c r="CC26" i="65037"/>
  <c r="CD26" i="65037"/>
  <c r="CE26" i="65037"/>
  <c r="CF26" i="65037"/>
  <c r="CG26" i="65037"/>
  <c r="CH26" i="65037"/>
  <c r="FG26" i="65037"/>
  <c r="BJ27" i="65037"/>
  <c r="BL27" i="65037"/>
  <c r="BN27" i="65037"/>
  <c r="BO27" i="65037"/>
  <c r="BP27" i="65037"/>
  <c r="BQ27" i="65037"/>
  <c r="BR27" i="65037"/>
  <c r="BS27" i="65037"/>
  <c r="BT27" i="65037"/>
  <c r="BV27" i="65037"/>
  <c r="BW27" i="65037"/>
  <c r="BX27" i="65037"/>
  <c r="BY27" i="65037"/>
  <c r="BZ27" i="65037"/>
  <c r="CA27" i="65037"/>
  <c r="CC27" i="65037"/>
  <c r="CD27" i="65037"/>
  <c r="CE27" i="65037"/>
  <c r="CF27" i="65037"/>
  <c r="CG27" i="65037"/>
  <c r="CH27" i="65037"/>
  <c r="FF27" i="65037"/>
  <c r="FF56" i="65037" s="1"/>
  <c r="FG27" i="65037"/>
  <c r="BJ28" i="65037"/>
  <c r="BM28" i="65037"/>
  <c r="BO28" i="65037"/>
  <c r="BP28" i="65037"/>
  <c r="BQ28" i="65037"/>
  <c r="BR28" i="65037"/>
  <c r="BS28" i="65037"/>
  <c r="BT28" i="65037"/>
  <c r="BW28" i="65037"/>
  <c r="BX28" i="65037"/>
  <c r="BY28" i="65037"/>
  <c r="BZ28" i="65037"/>
  <c r="CC28" i="65037"/>
  <c r="CD28" i="65037"/>
  <c r="CE28" i="65037"/>
  <c r="CF28" i="65037"/>
  <c r="CG28" i="65037"/>
  <c r="CH28" i="65037"/>
  <c r="FF28" i="65037"/>
  <c r="FF57" i="65037" s="1"/>
  <c r="FG28" i="65037"/>
  <c r="FG57" i="65037" s="1"/>
  <c r="BJ29" i="65037"/>
  <c r="BK29" i="65037"/>
  <c r="BN29" i="65037"/>
  <c r="BP29" i="65037"/>
  <c r="BR29" i="65037"/>
  <c r="BS29" i="65037"/>
  <c r="BU29" i="65037"/>
  <c r="BV29" i="65037"/>
  <c r="BW29" i="65037"/>
  <c r="BX29" i="65037"/>
  <c r="BY29" i="65037"/>
  <c r="BZ29" i="65037"/>
  <c r="CA29" i="65037"/>
  <c r="CB29" i="65037"/>
  <c r="CC29" i="65037"/>
  <c r="CD29" i="65037"/>
  <c r="CE29" i="65037"/>
  <c r="CF29" i="65037"/>
  <c r="CG29" i="65037"/>
  <c r="CH29" i="65037"/>
  <c r="FF29" i="65037"/>
  <c r="FG29" i="65037"/>
  <c r="BJ30" i="65037"/>
  <c r="BK30" i="65037"/>
  <c r="BR30" i="65037"/>
  <c r="BU30" i="65037"/>
  <c r="BV30" i="65037"/>
  <c r="BY30" i="65037"/>
  <c r="CA30" i="65037"/>
  <c r="CB30" i="65037"/>
  <c r="CC30" i="65037"/>
  <c r="CD30" i="65037"/>
  <c r="CE30" i="65037"/>
  <c r="CF30" i="65037"/>
  <c r="CG30" i="65037"/>
  <c r="CH30" i="65037"/>
  <c r="FF30" i="65037"/>
  <c r="FF59" i="65037" s="1"/>
  <c r="FG30" i="65037"/>
  <c r="BJ31" i="65037"/>
  <c r="BK31" i="65037"/>
  <c r="BL31" i="65037"/>
  <c r="BM31" i="65037"/>
  <c r="BN31" i="65037"/>
  <c r="BP31" i="65037"/>
  <c r="BT31" i="65037"/>
  <c r="BU31" i="65037"/>
  <c r="BV31" i="65037"/>
  <c r="BW31" i="65037"/>
  <c r="CA31" i="65037"/>
  <c r="CB31" i="65037"/>
  <c r="CF31" i="65037"/>
  <c r="CG31" i="65037"/>
  <c r="CH31" i="65037"/>
  <c r="FF31" i="65037"/>
  <c r="FG31" i="65037"/>
  <c r="BJ32" i="65037"/>
  <c r="BK32" i="65037"/>
  <c r="BN32" i="65037"/>
  <c r="BS32" i="65037"/>
  <c r="BT32" i="65037"/>
  <c r="BU32" i="65037"/>
  <c r="BW32" i="65037"/>
  <c r="BX32" i="65037"/>
  <c r="BY32" i="65037"/>
  <c r="BZ32" i="65037"/>
  <c r="CA32" i="65037"/>
  <c r="CD32" i="65037"/>
  <c r="CE32" i="65037"/>
  <c r="CF32" i="65037"/>
  <c r="CG32" i="65037"/>
  <c r="CH32" i="65037"/>
  <c r="FF32" i="65037"/>
  <c r="FG32" i="65037"/>
  <c r="BJ33" i="65037"/>
  <c r="BK33" i="65037"/>
  <c r="BL33" i="65037"/>
  <c r="BT33" i="65037"/>
  <c r="BU33" i="65037"/>
  <c r="BV33" i="65037"/>
  <c r="BZ33" i="65037"/>
  <c r="CA33" i="65037"/>
  <c r="CD33" i="65037"/>
  <c r="CG33" i="65037"/>
  <c r="CH33" i="65037"/>
  <c r="FF33" i="65037"/>
  <c r="FF62" i="65037" s="1"/>
  <c r="FG33" i="65037"/>
  <c r="FG62" i="65037" s="1"/>
  <c r="BJ34" i="65037"/>
  <c r="BK34" i="65037"/>
  <c r="BL34" i="65037"/>
  <c r="BM34" i="65037"/>
  <c r="BN34" i="65037"/>
  <c r="BV34" i="65037"/>
  <c r="BW34" i="65037"/>
  <c r="BX34" i="65037"/>
  <c r="BY34" i="65037"/>
  <c r="CB34" i="65037"/>
  <c r="CC34" i="65037"/>
  <c r="CD34" i="65037"/>
  <c r="CE34" i="65037"/>
  <c r="CF34" i="65037"/>
  <c r="CG34" i="65037"/>
  <c r="CH34" i="65037"/>
  <c r="FF34" i="65037"/>
  <c r="FF63" i="65037" s="1"/>
  <c r="FG34" i="65037"/>
  <c r="FG63" i="65037" s="1"/>
  <c r="BJ35" i="65037"/>
  <c r="BK35" i="65037"/>
  <c r="BL35" i="65037"/>
  <c r="BM35" i="65037"/>
  <c r="BN35" i="65037"/>
  <c r="BO35" i="65037"/>
  <c r="BT35" i="65037"/>
  <c r="BW35" i="65037"/>
  <c r="BX35" i="65037"/>
  <c r="BY35" i="65037"/>
  <c r="BZ35" i="65037"/>
  <c r="CA35" i="65037"/>
  <c r="CB35" i="65037"/>
  <c r="CC35" i="65037"/>
  <c r="CD35" i="65037"/>
  <c r="CE35" i="65037"/>
  <c r="CH35" i="65037"/>
  <c r="FF35" i="65037"/>
  <c r="FF64" i="65037" s="1"/>
  <c r="FG35" i="65037"/>
  <c r="BJ36" i="65037"/>
  <c r="BK36" i="65037"/>
  <c r="BL36" i="65037"/>
  <c r="BM36" i="65037"/>
  <c r="BN36" i="65037"/>
  <c r="BP36" i="65037"/>
  <c r="BS36" i="65037"/>
  <c r="BU36" i="65037"/>
  <c r="BX36" i="65037"/>
  <c r="BY36" i="65037"/>
  <c r="BZ36" i="65037"/>
  <c r="CA36" i="65037"/>
  <c r="CB36" i="65037"/>
  <c r="CC36" i="65037"/>
  <c r="CD36" i="65037"/>
  <c r="CE36" i="65037"/>
  <c r="CF36" i="65037"/>
  <c r="CG36" i="65037"/>
  <c r="CH36" i="65037"/>
  <c r="FF36" i="65037"/>
  <c r="FF65" i="65037" s="1"/>
  <c r="FG36" i="65037"/>
  <c r="BJ37" i="65037"/>
  <c r="BK37" i="65037"/>
  <c r="BL37" i="65037"/>
  <c r="BM37" i="65037"/>
  <c r="BN37" i="65037"/>
  <c r="BQ37" i="65037"/>
  <c r="BR37" i="65037"/>
  <c r="BS37" i="65037"/>
  <c r="BY37" i="65037"/>
  <c r="BZ37" i="65037"/>
  <c r="CA37" i="65037"/>
  <c r="CB37" i="65037"/>
  <c r="CC37" i="65037"/>
  <c r="CD37" i="65037"/>
  <c r="CE37" i="65037"/>
  <c r="CF37" i="65037"/>
  <c r="CG37" i="65037"/>
  <c r="CH37" i="65037"/>
  <c r="FF37" i="65037"/>
  <c r="FG37" i="65037"/>
  <c r="FG66" i="65037" s="1"/>
  <c r="BJ38" i="65037"/>
  <c r="BK38" i="65037"/>
  <c r="BL38" i="65037"/>
  <c r="BM38" i="65037"/>
  <c r="BN38" i="65037"/>
  <c r="BO38" i="65037"/>
  <c r="BP38" i="65037"/>
  <c r="BR38" i="65037"/>
  <c r="BT38" i="65037"/>
  <c r="BU38" i="65037"/>
  <c r="BY38" i="65037"/>
  <c r="BZ38" i="65037"/>
  <c r="CA38" i="65037"/>
  <c r="CB38" i="65037"/>
  <c r="CC38" i="65037"/>
  <c r="CD38" i="65037"/>
  <c r="CE38" i="65037"/>
  <c r="CF38" i="65037"/>
  <c r="CG38" i="65037"/>
  <c r="CH38" i="65037"/>
  <c r="FF38" i="65037"/>
  <c r="FG38" i="65037"/>
  <c r="BJ39" i="65037"/>
  <c r="BK39" i="65037"/>
  <c r="BL39" i="65037"/>
  <c r="BM39" i="65037"/>
  <c r="BN39" i="65037"/>
  <c r="BO39" i="65037"/>
  <c r="BP39" i="65037"/>
  <c r="BQ39" i="65037"/>
  <c r="BR39" i="65037"/>
  <c r="BS39" i="65037"/>
  <c r="BU39" i="65037"/>
  <c r="BV39" i="65037"/>
  <c r="BZ39" i="65037"/>
  <c r="CA39" i="65037"/>
  <c r="CC39" i="65037"/>
  <c r="CE39" i="65037"/>
  <c r="CF39" i="65037"/>
  <c r="CG39" i="65037"/>
  <c r="CH39" i="65037"/>
  <c r="FF39" i="65037"/>
  <c r="FG39" i="65037"/>
  <c r="BJ40" i="65037"/>
  <c r="BK40" i="65037"/>
  <c r="BL40" i="65037"/>
  <c r="BM40" i="65037"/>
  <c r="BN40" i="65037"/>
  <c r="BO40" i="65037"/>
  <c r="BP40" i="65037"/>
  <c r="BQ40" i="65037"/>
  <c r="BR40" i="65037"/>
  <c r="BS40" i="65037"/>
  <c r="BT40" i="65037"/>
  <c r="BV40" i="65037"/>
  <c r="BW40" i="65037"/>
  <c r="BY40" i="65037"/>
  <c r="CA40" i="65037"/>
  <c r="CB40" i="65037"/>
  <c r="CC40" i="65037"/>
  <c r="CD40" i="65037"/>
  <c r="CF40" i="65037"/>
  <c r="CG40" i="65037"/>
  <c r="CH40" i="65037"/>
  <c r="FF40" i="65037"/>
  <c r="FG40" i="65037"/>
  <c r="BJ41" i="65037"/>
  <c r="BK41" i="65037"/>
  <c r="BL41" i="65037"/>
  <c r="BM41" i="65037"/>
  <c r="BN41" i="65037"/>
  <c r="BO41" i="65037"/>
  <c r="BP41" i="65037"/>
  <c r="BQ41" i="65037"/>
  <c r="BR41" i="65037"/>
  <c r="BT41" i="65037"/>
  <c r="BU41" i="65037"/>
  <c r="BV41" i="65037"/>
  <c r="BW41" i="65037"/>
  <c r="BX41" i="65037"/>
  <c r="BZ41" i="65037"/>
  <c r="CB41" i="65037"/>
  <c r="CC41" i="65037"/>
  <c r="CD41" i="65037"/>
  <c r="CG41" i="65037"/>
  <c r="CH41" i="65037"/>
  <c r="FF41" i="65037"/>
  <c r="FF70" i="65037" s="1"/>
  <c r="FG41" i="65037"/>
  <c r="BJ42" i="65037"/>
  <c r="BK42" i="65037"/>
  <c r="BL42" i="65037"/>
  <c r="BM42" i="65037"/>
  <c r="BN42" i="65037"/>
  <c r="BO42" i="65037"/>
  <c r="BP42" i="65037"/>
  <c r="BQ42" i="65037"/>
  <c r="BR42" i="65037"/>
  <c r="BS42" i="65037"/>
  <c r="BT42" i="65037"/>
  <c r="BU42" i="65037"/>
  <c r="BV42" i="65037"/>
  <c r="BW42" i="65037"/>
  <c r="BX42" i="65037"/>
  <c r="BY42" i="65037"/>
  <c r="CA42" i="65037"/>
  <c r="CC42" i="65037"/>
  <c r="CD42" i="65037"/>
  <c r="CE42" i="65037"/>
  <c r="CF42" i="65037"/>
  <c r="CH42" i="65037"/>
  <c r="FF42" i="65037"/>
  <c r="FF71" i="65037" s="1"/>
  <c r="FG42" i="65037"/>
  <c r="FG71" i="65037" s="1"/>
  <c r="BJ43" i="65037"/>
  <c r="BK43" i="65037"/>
  <c r="BL43" i="65037"/>
  <c r="BM43" i="65037"/>
  <c r="BN43" i="65037"/>
  <c r="BO43" i="65037"/>
  <c r="BP43" i="65037"/>
  <c r="BQ43" i="65037"/>
  <c r="BR43" i="65037"/>
  <c r="BS43" i="65037"/>
  <c r="BT43" i="65037"/>
  <c r="BU43" i="65037"/>
  <c r="BV43" i="65037"/>
  <c r="BW43" i="65037"/>
  <c r="BX43" i="65037"/>
  <c r="BY43" i="65037"/>
  <c r="BZ43" i="65037"/>
  <c r="CB43" i="65037"/>
  <c r="CE43" i="65037"/>
  <c r="CF43" i="65037"/>
  <c r="CG43" i="65037"/>
  <c r="CH43" i="65037"/>
  <c r="FF43" i="65037"/>
  <c r="FG43" i="65037"/>
  <c r="BJ44" i="65037"/>
  <c r="BK44" i="65037"/>
  <c r="BL44" i="65037"/>
  <c r="BM44" i="65037"/>
  <c r="BN44" i="65037"/>
  <c r="BO44" i="65037"/>
  <c r="BP44" i="65037"/>
  <c r="BQ44" i="65037"/>
  <c r="BR44" i="65037"/>
  <c r="BS44" i="65037"/>
  <c r="BT44" i="65037"/>
  <c r="BU44" i="65037"/>
  <c r="BV44" i="65037"/>
  <c r="BW44" i="65037"/>
  <c r="BX44" i="65037"/>
  <c r="BZ44" i="65037"/>
  <c r="CA44" i="65037"/>
  <c r="CE44" i="65037"/>
  <c r="CF44" i="65037"/>
  <c r="CG44" i="65037"/>
  <c r="CH44" i="65037"/>
  <c r="FF44" i="65037"/>
  <c r="FG44" i="65037"/>
  <c r="BJ45" i="65037"/>
  <c r="BK45" i="65037"/>
  <c r="BL45" i="65037"/>
  <c r="BM45" i="65037"/>
  <c r="BN45" i="65037"/>
  <c r="BO45" i="65037"/>
  <c r="BP45" i="65037"/>
  <c r="BQ45" i="65037"/>
  <c r="BR45" i="65037"/>
  <c r="BS45" i="65037"/>
  <c r="BT45" i="65037"/>
  <c r="BU45" i="65037"/>
  <c r="BV45" i="65037"/>
  <c r="BW45" i="65037"/>
  <c r="BX45" i="65037"/>
  <c r="BY45" i="65037"/>
  <c r="CA45" i="65037"/>
  <c r="CB45" i="65037"/>
  <c r="CD45" i="65037"/>
  <c r="CF45" i="65037"/>
  <c r="CG45" i="65037"/>
  <c r="CH45" i="65037"/>
  <c r="FF45" i="65037"/>
  <c r="FG45" i="65037"/>
  <c r="BJ46" i="65037"/>
  <c r="BK46" i="65037"/>
  <c r="BL46" i="65037"/>
  <c r="BM46" i="65037"/>
  <c r="BN46" i="65037"/>
  <c r="BO46" i="65037"/>
  <c r="BP46" i="65037"/>
  <c r="BQ46" i="65037"/>
  <c r="BR46" i="65037"/>
  <c r="BS46" i="65037"/>
  <c r="BT46" i="65037"/>
  <c r="BU46" i="65037"/>
  <c r="BV46" i="65037"/>
  <c r="BW46" i="65037"/>
  <c r="BX46" i="65037"/>
  <c r="BY46" i="65037"/>
  <c r="BZ46" i="65037"/>
  <c r="CB46" i="65037"/>
  <c r="CC46" i="65037"/>
  <c r="CE46" i="65037"/>
  <c r="CG46" i="65037"/>
  <c r="CH46" i="65037"/>
  <c r="FF46" i="65037"/>
  <c r="FG46" i="65037"/>
  <c r="FG75" i="65037" s="1"/>
  <c r="BJ47" i="65037"/>
  <c r="BK47" i="65037"/>
  <c r="BL47" i="65037"/>
  <c r="BM47" i="65037"/>
  <c r="BN47" i="65037"/>
  <c r="BO47" i="65037"/>
  <c r="BP47" i="65037"/>
  <c r="BQ47" i="65037"/>
  <c r="BR47" i="65037"/>
  <c r="BS47" i="65037"/>
  <c r="BT47" i="65037"/>
  <c r="BU47" i="65037"/>
  <c r="BV47" i="65037"/>
  <c r="BW47" i="65037"/>
  <c r="BX47" i="65037"/>
  <c r="BY47" i="65037"/>
  <c r="BZ47" i="65037"/>
  <c r="CA47" i="65037"/>
  <c r="CC47" i="65037"/>
  <c r="CD47" i="65037"/>
  <c r="CF47" i="65037"/>
  <c r="FF47" i="65037"/>
  <c r="FG47" i="65037"/>
  <c r="BJ48" i="65037"/>
  <c r="BK48" i="65037"/>
  <c r="BL48" i="65037"/>
  <c r="BM48" i="65037"/>
  <c r="BN48" i="65037"/>
  <c r="BO48" i="65037"/>
  <c r="BP48" i="65037"/>
  <c r="BQ48" i="65037"/>
  <c r="BR48" i="65037"/>
  <c r="BS48" i="65037"/>
  <c r="BT48" i="65037"/>
  <c r="BU48" i="65037"/>
  <c r="BV48" i="65037"/>
  <c r="BW48" i="65037"/>
  <c r="BX48" i="65037"/>
  <c r="BY48" i="65037"/>
  <c r="BZ48" i="65037"/>
  <c r="CA48" i="65037"/>
  <c r="CB48" i="65037"/>
  <c r="CC48" i="65037"/>
  <c r="CD48" i="65037"/>
  <c r="CE48" i="65037"/>
  <c r="CG48" i="65037"/>
  <c r="FF48" i="65037"/>
  <c r="FG48" i="65037"/>
  <c r="BJ49" i="65037"/>
  <c r="BK49" i="65037"/>
  <c r="BL49" i="65037"/>
  <c r="BM49" i="65037"/>
  <c r="BN49" i="65037"/>
  <c r="BO49" i="65037"/>
  <c r="BP49" i="65037"/>
  <c r="BQ49" i="65037"/>
  <c r="BR49" i="65037"/>
  <c r="BS49" i="65037"/>
  <c r="BT49" i="65037"/>
  <c r="BU49" i="65037"/>
  <c r="BV49" i="65037"/>
  <c r="BW49" i="65037"/>
  <c r="BX49" i="65037"/>
  <c r="BY49" i="65037"/>
  <c r="BZ49" i="65037"/>
  <c r="CA49" i="65037"/>
  <c r="CB49" i="65037"/>
  <c r="CC49" i="65037"/>
  <c r="CD49" i="65037"/>
  <c r="CE49" i="65037"/>
  <c r="CF49" i="65037"/>
  <c r="CH49" i="65037"/>
  <c r="FF49" i="65037"/>
  <c r="FG49" i="65037"/>
  <c r="CQ25" i="65037"/>
  <c r="CQ26" i="65037"/>
  <c r="DO55" i="65037"/>
  <c r="E26" i="65037" s="1"/>
  <c r="FG51" i="65037"/>
  <c r="FI51" i="65037" s="1"/>
  <c r="FL51" i="65037" s="1"/>
  <c r="FP51" i="65037" s="1"/>
  <c r="FT51" i="65037" s="1"/>
  <c r="FX51" i="65037" s="1"/>
  <c r="GB51" i="65037" s="1"/>
  <c r="GF51" i="65037" s="1"/>
  <c r="GJ51" i="65037" s="1"/>
  <c r="GN51" i="65037" s="1"/>
  <c r="GR51" i="65037" s="1"/>
  <c r="GV51" i="65037" s="1"/>
  <c r="GZ51" i="65037" s="1"/>
  <c r="HD51" i="65037" s="1"/>
  <c r="HH51" i="65037" s="1"/>
  <c r="HL51" i="65037" s="1"/>
  <c r="HP51" i="65037" s="1"/>
  <c r="HT51" i="65037" s="1"/>
  <c r="HX51" i="65037" s="1"/>
  <c r="IB51" i="65037" s="1"/>
  <c r="IF51" i="65037" s="1"/>
  <c r="IJ51" i="65037" s="1"/>
  <c r="IN51" i="65037" s="1"/>
  <c r="IR51" i="65037" s="1"/>
  <c r="IV51" i="65037" s="1"/>
  <c r="CQ27" i="65037"/>
  <c r="DO56" i="65037"/>
  <c r="CQ28" i="65037"/>
  <c r="DO57" i="65037"/>
  <c r="EZ53" i="65037"/>
  <c r="ET53" i="65037" s="1"/>
  <c r="CQ29" i="65037"/>
  <c r="DO58" i="65037"/>
  <c r="AV54" i="65037"/>
  <c r="AW54" i="65037"/>
  <c r="AZ54" i="65037"/>
  <c r="BA54" i="65037"/>
  <c r="CQ30" i="65037"/>
  <c r="DO59" i="65037"/>
  <c r="AU55" i="65037"/>
  <c r="AV55" i="65037"/>
  <c r="AW55" i="65037"/>
  <c r="AZ55" i="65037"/>
  <c r="BA55" i="65037"/>
  <c r="CQ31" i="65037"/>
  <c r="DO60" i="65037"/>
  <c r="AU56" i="65037"/>
  <c r="AW56" i="65037"/>
  <c r="AZ56" i="65037"/>
  <c r="BA56" i="65037"/>
  <c r="CQ32" i="65037"/>
  <c r="DO61" i="65037"/>
  <c r="AW57" i="65037"/>
  <c r="AZ57" i="65037"/>
  <c r="BA57" i="65037"/>
  <c r="DO62" i="65037"/>
  <c r="AW58" i="65037"/>
  <c r="AZ58" i="65037"/>
  <c r="BA58" i="65037"/>
  <c r="CQ34" i="65037"/>
  <c r="DO63" i="65037"/>
  <c r="AZ59" i="65037"/>
  <c r="BA59" i="65037"/>
  <c r="CQ35" i="65037"/>
  <c r="DO64" i="65037"/>
  <c r="AW60" i="65037"/>
  <c r="AZ60" i="65037"/>
  <c r="BA60" i="65037"/>
  <c r="DO65" i="65037"/>
  <c r="AW61" i="65037"/>
  <c r="BA61" i="65037"/>
  <c r="CQ37" i="65037"/>
  <c r="DO66" i="65037"/>
  <c r="AW62" i="65037"/>
  <c r="AZ62" i="65037"/>
  <c r="BA62" i="65037"/>
  <c r="CQ38" i="65037"/>
  <c r="DO67" i="65037"/>
  <c r="AZ63" i="65037"/>
  <c r="BA63" i="65037"/>
  <c r="CQ39" i="65037"/>
  <c r="AW64" i="65037"/>
  <c r="AZ64" i="65037"/>
  <c r="BA64" i="65037"/>
  <c r="CQ40" i="65037"/>
  <c r="DO69" i="65037"/>
  <c r="AW65" i="65037"/>
  <c r="AZ65" i="65037"/>
  <c r="BA65" i="65037"/>
  <c r="CQ41" i="65037"/>
  <c r="DO70" i="65037"/>
  <c r="AV66" i="65037"/>
  <c r="AW66" i="65037"/>
  <c r="AZ66" i="65037"/>
  <c r="BA66" i="65037"/>
  <c r="CQ42" i="65037"/>
  <c r="DO71" i="65037"/>
  <c r="AW67" i="65037"/>
  <c r="AZ67" i="65037"/>
  <c r="BA67" i="65037"/>
  <c r="CQ43" i="65037"/>
  <c r="DO72" i="65037"/>
  <c r="AW68" i="65037"/>
  <c r="AZ68" i="65037"/>
  <c r="BA68" i="65037"/>
  <c r="CQ44" i="65037"/>
  <c r="DO73" i="65037"/>
  <c r="AT69" i="65037"/>
  <c r="AZ69" i="65037"/>
  <c r="BA69" i="65037"/>
  <c r="CQ45" i="65037"/>
  <c r="DO74" i="65037"/>
  <c r="AZ70" i="65037"/>
  <c r="BA70" i="65037"/>
  <c r="CQ46" i="65037"/>
  <c r="DO75" i="65037"/>
  <c r="AZ71" i="65037"/>
  <c r="BA71" i="65037"/>
  <c r="CQ47" i="65037"/>
  <c r="DO76" i="65037"/>
  <c r="AZ72" i="65037"/>
  <c r="BA72" i="65037"/>
  <c r="CQ48" i="65037"/>
  <c r="DO77" i="65037"/>
  <c r="AT73" i="65037"/>
  <c r="AW73" i="65037"/>
  <c r="AZ73" i="65037"/>
  <c r="BA73" i="65037"/>
  <c r="CQ49" i="65037"/>
  <c r="DO78" i="65037"/>
  <c r="AT74" i="65037"/>
  <c r="AU74" i="65037"/>
  <c r="AZ74" i="65037"/>
  <c r="BA74" i="65037"/>
  <c r="AU75" i="65037"/>
  <c r="AZ75" i="65037"/>
  <c r="BA75" i="65037"/>
  <c r="AT76" i="65037"/>
  <c r="AZ76" i="65037"/>
  <c r="BA76" i="65037"/>
  <c r="AT77" i="65037"/>
  <c r="AZ77" i="65037"/>
  <c r="BA77" i="65037"/>
  <c r="AT78" i="65037"/>
  <c r="AU78" i="65037"/>
  <c r="AV78" i="65037"/>
  <c r="AZ78" i="65037"/>
  <c r="BA78" i="65037"/>
  <c r="FG80" i="65037"/>
  <c r="FI80" i="65037" s="1"/>
  <c r="FL80" i="65037" s="1"/>
  <c r="FP80" i="65037" s="1"/>
  <c r="FT80" i="65037" s="1"/>
  <c r="FX80" i="65037" s="1"/>
  <c r="GB80" i="65037" s="1"/>
  <c r="GF80" i="65037" s="1"/>
  <c r="GJ80" i="65037" s="1"/>
  <c r="GN80" i="65037" s="1"/>
  <c r="GR80" i="65037" s="1"/>
  <c r="GV80" i="65037" s="1"/>
  <c r="GZ80" i="65037" s="1"/>
  <c r="HD80" i="65037" s="1"/>
  <c r="HH80" i="65037" s="1"/>
  <c r="HL80" i="65037" s="1"/>
  <c r="HP80" i="65037" s="1"/>
  <c r="HT80" i="65037" s="1"/>
  <c r="HX80" i="65037" s="1"/>
  <c r="IB80" i="65037" s="1"/>
  <c r="IF80" i="65037" s="1"/>
  <c r="IJ80" i="65037" s="1"/>
  <c r="IN80" i="65037" s="1"/>
  <c r="IR80" i="65037" s="1"/>
  <c r="IV80" i="65037" s="1"/>
  <c r="FG109" i="65037"/>
  <c r="FI109" i="65037" s="1"/>
  <c r="FL109" i="65037" s="1"/>
  <c r="FP109" i="65037" s="1"/>
  <c r="FT109" i="65037" s="1"/>
  <c r="FX109" i="65037" s="1"/>
  <c r="GB109" i="65037" s="1"/>
  <c r="GF109" i="65037" s="1"/>
  <c r="GJ109" i="65037" s="1"/>
  <c r="GN109" i="65037" s="1"/>
  <c r="GR109" i="65037" s="1"/>
  <c r="GV109" i="65037" s="1"/>
  <c r="GZ109" i="65037" s="1"/>
  <c r="HD109" i="65037" s="1"/>
  <c r="HH109" i="65037" s="1"/>
  <c r="HL109" i="65037" s="1"/>
  <c r="HP109" i="65037" s="1"/>
  <c r="HT109" i="65037" s="1"/>
  <c r="HX109" i="65037" s="1"/>
  <c r="IB109" i="65037" s="1"/>
  <c r="IF109" i="65037" s="1"/>
  <c r="IJ109" i="65037" s="1"/>
  <c r="IN109" i="65037" s="1"/>
  <c r="IR109" i="65037" s="1"/>
  <c r="IV109" i="65037" s="1"/>
  <c r="EO112" i="65037"/>
  <c r="EP112" i="65037"/>
  <c r="FF112" i="65037"/>
  <c r="FG112" i="65037"/>
  <c r="EO113" i="65037"/>
  <c r="FF113" i="65037"/>
  <c r="FG113" i="65037"/>
  <c r="EO114" i="65037"/>
  <c r="EP114" i="65037"/>
  <c r="FF114" i="65037"/>
  <c r="FG114" i="65037"/>
  <c r="EO115" i="65037"/>
  <c r="FF115" i="65037"/>
  <c r="FG115" i="65037"/>
  <c r="FF116" i="65037"/>
  <c r="FG116" i="65037"/>
  <c r="EO117" i="65037"/>
  <c r="EP117" i="65037"/>
  <c r="FF117" i="65037"/>
  <c r="FG117" i="65037"/>
  <c r="EO118" i="65037"/>
  <c r="EP118" i="65037"/>
  <c r="FF118" i="65037"/>
  <c r="FG118" i="65037"/>
  <c r="EO119" i="65037"/>
  <c r="EP119" i="65037"/>
  <c r="FF119" i="65037"/>
  <c r="FG119" i="65037"/>
  <c r="EP120" i="65037"/>
  <c r="FF120" i="65037"/>
  <c r="FG120" i="65037"/>
  <c r="EP121" i="65037"/>
  <c r="FF121" i="65037"/>
  <c r="FG121" i="65037"/>
  <c r="EO122" i="65037"/>
  <c r="EP122" i="65037"/>
  <c r="FF122" i="65037"/>
  <c r="FG122" i="65037"/>
  <c r="EP123" i="65037"/>
  <c r="FF123" i="65037"/>
  <c r="FG123" i="65037"/>
  <c r="EO124" i="65037"/>
  <c r="EP124" i="65037"/>
  <c r="FF124" i="65037"/>
  <c r="FG124" i="65037"/>
  <c r="EO125" i="65037"/>
  <c r="EP125" i="65037"/>
  <c r="FF125" i="65037"/>
  <c r="FG125" i="65037"/>
  <c r="EO126" i="65037"/>
  <c r="EP126" i="65037"/>
  <c r="FF126" i="65037"/>
  <c r="FG126" i="65037"/>
  <c r="EO127" i="65037"/>
  <c r="EP127" i="65037"/>
  <c r="FF127" i="65037"/>
  <c r="FG127" i="65037"/>
  <c r="EO128" i="65037"/>
  <c r="EP128" i="65037"/>
  <c r="FF128" i="65037"/>
  <c r="FG128" i="65037"/>
  <c r="EO129" i="65037"/>
  <c r="EP129" i="65037"/>
  <c r="FF129" i="65037"/>
  <c r="FG129" i="65037"/>
  <c r="EO130" i="65037"/>
  <c r="EP130" i="65037"/>
  <c r="FF130" i="65037"/>
  <c r="FG130" i="65037"/>
  <c r="EO131" i="65037"/>
  <c r="EP131" i="65037"/>
  <c r="FF131" i="65037"/>
  <c r="FG131" i="65037"/>
  <c r="FF132" i="65037"/>
  <c r="FG132" i="65037"/>
  <c r="FF133" i="65037"/>
  <c r="FG133" i="65037"/>
  <c r="FF134" i="65037"/>
  <c r="FG134" i="65037"/>
  <c r="FF135" i="65037"/>
  <c r="FG135" i="65037"/>
  <c r="FF136" i="65037"/>
  <c r="FG136" i="65037"/>
  <c r="FG138" i="65037"/>
  <c r="FI138" i="65037" s="1"/>
  <c r="FL138" i="65037" s="1"/>
  <c r="FP138" i="65037" s="1"/>
  <c r="FT138" i="65037" s="1"/>
  <c r="FX138" i="65037" s="1"/>
  <c r="GB138" i="65037" s="1"/>
  <c r="GF138" i="65037" s="1"/>
  <c r="GJ138" i="65037" s="1"/>
  <c r="GN138" i="65037" s="1"/>
  <c r="GR138" i="65037" s="1"/>
  <c r="GV138" i="65037" s="1"/>
  <c r="GZ138" i="65037" s="1"/>
  <c r="HD138" i="65037" s="1"/>
  <c r="HH138" i="65037" s="1"/>
  <c r="HL138" i="65037" s="1"/>
  <c r="HP138" i="65037" s="1"/>
  <c r="HT138" i="65037" s="1"/>
  <c r="HX138" i="65037" s="1"/>
  <c r="IB138" i="65037" s="1"/>
  <c r="IF138" i="65037" s="1"/>
  <c r="IJ138" i="65037" s="1"/>
  <c r="IN138" i="65037" s="1"/>
  <c r="IR138" i="65037" s="1"/>
  <c r="IV138" i="65037" s="1"/>
  <c r="FF141" i="65037"/>
  <c r="FG141" i="65037"/>
  <c r="FH141" i="65037"/>
  <c r="FF142" i="65037"/>
  <c r="FG142" i="65037"/>
  <c r="FF143" i="65037"/>
  <c r="FG143" i="65037"/>
  <c r="FF144" i="65037"/>
  <c r="FG144" i="65037"/>
  <c r="FF145" i="65037"/>
  <c r="FG145" i="65037"/>
  <c r="FH145" i="65037"/>
  <c r="FF146" i="65037"/>
  <c r="FG146" i="65037"/>
  <c r="FH146" i="65037"/>
  <c r="FF147" i="65037"/>
  <c r="FG147" i="65037"/>
  <c r="FH147" i="65037"/>
  <c r="FF148" i="65037"/>
  <c r="FG148" i="65037"/>
  <c r="FH148" i="65037"/>
  <c r="FF149" i="65037"/>
  <c r="FG149" i="65037"/>
  <c r="FH149" i="65037"/>
  <c r="FF150" i="65037"/>
  <c r="FG150" i="65037"/>
  <c r="FH150" i="65037"/>
  <c r="FF151" i="65037"/>
  <c r="FG151" i="65037"/>
  <c r="FF152" i="65037"/>
  <c r="FG152" i="65037"/>
  <c r="FF153" i="65037"/>
  <c r="FG153" i="65037"/>
  <c r="FF154" i="65037"/>
  <c r="FG154" i="65037"/>
  <c r="FF155" i="65037"/>
  <c r="FG155" i="65037"/>
  <c r="FH155" i="65037"/>
  <c r="FF156" i="65037"/>
  <c r="FG156" i="65037"/>
  <c r="FH156" i="65037"/>
  <c r="FF157" i="65037"/>
  <c r="FG157" i="65037"/>
  <c r="FH157" i="65037"/>
  <c r="FF158" i="65037"/>
  <c r="FG158" i="65037"/>
  <c r="FH158" i="65037"/>
  <c r="FF159" i="65037"/>
  <c r="FG159" i="65037"/>
  <c r="FH159" i="65037"/>
  <c r="FF160" i="65037"/>
  <c r="FG160" i="65037"/>
  <c r="FF161" i="65037"/>
  <c r="FG161" i="65037"/>
  <c r="FF162" i="65037"/>
  <c r="FG162" i="65037"/>
  <c r="FH162" i="65037"/>
  <c r="FF163" i="65037"/>
  <c r="FG163" i="65037"/>
  <c r="FH163" i="65037"/>
  <c r="FF164" i="65037"/>
  <c r="FG164" i="65037"/>
  <c r="FH164" i="65037"/>
  <c r="FF165" i="65037"/>
  <c r="FG165" i="65037"/>
  <c r="FH165" i="65037"/>
  <c r="FF170" i="65037"/>
  <c r="FG170" i="65037"/>
  <c r="FF171" i="65037"/>
  <c r="FG171" i="65037"/>
  <c r="FF172" i="65037"/>
  <c r="FG172" i="65037"/>
  <c r="FF173" i="65037"/>
  <c r="FG173" i="65037"/>
  <c r="FF174" i="65037"/>
  <c r="FG174" i="65037"/>
  <c r="FF175" i="65037"/>
  <c r="FG175" i="65037"/>
  <c r="FF176" i="65037"/>
  <c r="FG176" i="65037"/>
  <c r="FF177" i="65037"/>
  <c r="FG177" i="65037"/>
  <c r="FF178" i="65037"/>
  <c r="FG178" i="65037"/>
  <c r="FF179" i="65037"/>
  <c r="FG179" i="65037"/>
  <c r="FF180" i="65037"/>
  <c r="FG180" i="65037"/>
  <c r="FF181" i="65037"/>
  <c r="FG181" i="65037"/>
  <c r="FF182" i="65037"/>
  <c r="FG182" i="65037"/>
  <c r="FF183" i="65037"/>
  <c r="FG183" i="65037"/>
  <c r="FF184" i="65037"/>
  <c r="FG184" i="65037"/>
  <c r="FF185" i="65037"/>
  <c r="FG185" i="65037"/>
  <c r="FF186" i="65037"/>
  <c r="FG186" i="65037"/>
  <c r="FF187" i="65037"/>
  <c r="FG187" i="65037"/>
  <c r="FF188" i="65037"/>
  <c r="FG188" i="65037"/>
  <c r="FF189" i="65037"/>
  <c r="FG189" i="65037"/>
  <c r="FF190" i="65037"/>
  <c r="FG190" i="65037"/>
  <c r="FF191" i="65037"/>
  <c r="FG191" i="65037"/>
  <c r="FF192" i="65037"/>
  <c r="FG192" i="65037"/>
  <c r="FF193" i="65037"/>
  <c r="FG193" i="65037"/>
  <c r="FF194" i="65037"/>
  <c r="FG194" i="65037"/>
  <c r="BK93" i="65037"/>
  <c r="BL93" i="65037" s="1"/>
  <c r="BM93" i="65037" s="1"/>
  <c r="BN93" i="65037" s="1"/>
  <c r="BR35" i="65037"/>
  <c r="BO34" i="65037"/>
  <c r="BS38" i="65037"/>
  <c r="BV35" i="65037"/>
  <c r="BW36" i="65037"/>
  <c r="BT39" i="65037"/>
  <c r="BU40" i="65037"/>
  <c r="AV65" i="65037"/>
  <c r="AV64" i="65037"/>
  <c r="BO37" i="65037"/>
  <c r="CB33" i="65037"/>
  <c r="BZ30" i="65037"/>
  <c r="BV37" i="65037"/>
  <c r="BS34" i="65037"/>
  <c r="CC44" i="65037"/>
  <c r="AT75" i="65037"/>
  <c r="AW59" i="65037"/>
  <c r="CE31" i="65037"/>
  <c r="BS41" i="65037"/>
  <c r="CD43" i="65037"/>
  <c r="CE33" i="65037"/>
  <c r="CB32" i="65037"/>
  <c r="AU72" i="65037"/>
  <c r="BR33" i="65037"/>
  <c r="BL32" i="65037"/>
  <c r="BM32" i="65037"/>
  <c r="BQ36" i="65037"/>
  <c r="BO36" i="65037"/>
  <c r="BR36" i="65037"/>
  <c r="CG42" i="65037"/>
  <c r="CB47" i="65037"/>
  <c r="CF41" i="65037"/>
  <c r="CA46" i="65037"/>
  <c r="CE40" i="65037"/>
  <c r="BZ45" i="65037"/>
  <c r="CD39" i="65037"/>
  <c r="BY44" i="65037"/>
  <c r="AW70" i="65037"/>
  <c r="AV76" i="65037"/>
  <c r="AW72" i="65037"/>
  <c r="AV77" i="65037"/>
  <c r="BS31" i="65037"/>
  <c r="BP35" i="65037"/>
  <c r="BQ35" i="65037"/>
  <c r="AT63" i="65037"/>
  <c r="CC31" i="65037"/>
  <c r="BS30" i="65037"/>
  <c r="AU63" i="65037"/>
  <c r="BT30" i="65037"/>
  <c r="CD31" i="65037"/>
  <c r="BY31" i="65037"/>
  <c r="AW69" i="65037"/>
  <c r="AV74" i="65037"/>
  <c r="CG35" i="65037"/>
  <c r="BT29" i="65037"/>
  <c r="AU57" i="65037"/>
  <c r="AU77" i="65037"/>
  <c r="BW33" i="65037"/>
  <c r="AT64" i="65037"/>
  <c r="AT67" i="65037"/>
  <c r="AT70" i="65037"/>
  <c r="BZ31" i="65037"/>
  <c r="AV59" i="65037"/>
  <c r="BP34" i="65037"/>
  <c r="CF35" i="65037"/>
  <c r="CF33" i="65037"/>
  <c r="CC32" i="65037"/>
  <c r="BQ34" i="65037"/>
  <c r="AW63" i="65037"/>
  <c r="AU76" i="65037"/>
  <c r="AV73" i="65037"/>
  <c r="CQ33" i="65037"/>
  <c r="EO120" i="65037"/>
  <c r="EO123" i="65037"/>
  <c r="EO116" i="65037"/>
  <c r="EO121" i="65037"/>
  <c r="CQ36" i="65037"/>
  <c r="BX30" i="65037"/>
  <c r="CC33" i="65037"/>
  <c r="AV63" i="65037"/>
  <c r="AU73" i="65037"/>
  <c r="AT68" i="65037"/>
  <c r="AT62" i="65037"/>
  <c r="BM30" i="65037"/>
  <c r="BO33" i="65037"/>
  <c r="BP33" i="65037"/>
  <c r="BL30" i="65037"/>
  <c r="AU69" i="65037"/>
  <c r="BY33" i="65037"/>
  <c r="AV69" i="65037"/>
  <c r="AU71" i="65037"/>
  <c r="CA34" i="65037"/>
  <c r="AV70" i="65037"/>
  <c r="CB39" i="65037"/>
  <c r="BX33" i="65037"/>
  <c r="BZ34" i="65037"/>
  <c r="AV62" i="65037"/>
  <c r="AU70" i="65037"/>
  <c r="E27" i="65037" l="1"/>
  <c r="E33" i="65037"/>
  <c r="C21" i="65053" s="1"/>
  <c r="E39" i="65037"/>
  <c r="CT69" i="65037" s="1"/>
  <c r="FF106" i="65037"/>
  <c r="FF77" i="65037"/>
  <c r="DS77" i="65037" s="1"/>
  <c r="FI47" i="65037"/>
  <c r="FJ47" i="65037" s="1"/>
  <c r="FG76" i="65037"/>
  <c r="FF105" i="65037"/>
  <c r="FF76" i="65037"/>
  <c r="DS76" i="65037" s="1"/>
  <c r="FH43" i="65037"/>
  <c r="FG72" i="65037"/>
  <c r="FH99" i="65037"/>
  <c r="FG70" i="65037"/>
  <c r="FF75" i="65037"/>
  <c r="FG74" i="65037"/>
  <c r="DT74" i="65037" s="1"/>
  <c r="FH102" i="65037"/>
  <c r="FG73" i="65037"/>
  <c r="DT73" i="65037" s="1"/>
  <c r="FF101" i="65037"/>
  <c r="FF72" i="65037"/>
  <c r="DS72" i="65037" s="1"/>
  <c r="FG78" i="65037"/>
  <c r="DT78" i="65037" s="1"/>
  <c r="FF103" i="65037"/>
  <c r="FF74" i="65037"/>
  <c r="FF73" i="65037"/>
  <c r="DS73" i="65037" s="1"/>
  <c r="FF107" i="65037"/>
  <c r="FF78" i="65037"/>
  <c r="DT48" i="65037"/>
  <c r="FG77" i="65037"/>
  <c r="DT77" i="65037" s="1"/>
  <c r="DT40" i="65037"/>
  <c r="FG69" i="65037"/>
  <c r="DT69" i="65037" s="1"/>
  <c r="FF98" i="65037"/>
  <c r="FF69" i="65037"/>
  <c r="FH39" i="65037"/>
  <c r="FG68" i="65037"/>
  <c r="DT68" i="65037" s="1"/>
  <c r="FF97" i="65037"/>
  <c r="FF68" i="65037"/>
  <c r="DS68" i="65037" s="1"/>
  <c r="FF58" i="65037"/>
  <c r="DS58" i="65037" s="1"/>
  <c r="FF61" i="65037"/>
  <c r="DS61" i="65037" s="1"/>
  <c r="FG85" i="65037"/>
  <c r="FG56" i="65037"/>
  <c r="DT56" i="65037" s="1"/>
  <c r="FG84" i="65037"/>
  <c r="FG55" i="65037"/>
  <c r="DT55" i="65037" s="1"/>
  <c r="FH25" i="65037"/>
  <c r="FG54" i="65037"/>
  <c r="DT30" i="65037"/>
  <c r="FG59" i="65037"/>
  <c r="DT59" i="65037" s="1"/>
  <c r="FH87" i="65037"/>
  <c r="FG58" i="65037"/>
  <c r="BD26" i="65037"/>
  <c r="BD34" i="65037"/>
  <c r="BD42" i="65037"/>
  <c r="BD28" i="65037"/>
  <c r="BD44" i="65037"/>
  <c r="BD29" i="65037"/>
  <c r="BD27" i="65037"/>
  <c r="BD35" i="65037"/>
  <c r="BD43" i="65037"/>
  <c r="BD36" i="65037"/>
  <c r="BD45" i="65037"/>
  <c r="BD30" i="65037"/>
  <c r="BD38" i="65037"/>
  <c r="BD46" i="65037"/>
  <c r="BD32" i="65037"/>
  <c r="BD48" i="65037"/>
  <c r="BD37" i="65037"/>
  <c r="BD31" i="65037"/>
  <c r="BD39" i="65037"/>
  <c r="BD47" i="65037"/>
  <c r="BD40" i="65037"/>
  <c r="BD33" i="65037"/>
  <c r="BD41" i="65037"/>
  <c r="BD49" i="65037"/>
  <c r="FG96" i="65037"/>
  <c r="FG67" i="65037"/>
  <c r="FF67" i="65037"/>
  <c r="BD25" i="65037"/>
  <c r="FF60" i="65037"/>
  <c r="FG90" i="65037"/>
  <c r="FG61" i="65037"/>
  <c r="DT61" i="65037" s="1"/>
  <c r="FH89" i="65037"/>
  <c r="FG60" i="65037"/>
  <c r="FF95" i="65037"/>
  <c r="FF66" i="65037"/>
  <c r="FH36" i="65037"/>
  <c r="FG65" i="65037"/>
  <c r="DT65" i="65037" s="1"/>
  <c r="FH93" i="65037"/>
  <c r="FG64" i="65037"/>
  <c r="DT64" i="65037" s="1"/>
  <c r="DT33" i="65037"/>
  <c r="E47" i="65037"/>
  <c r="CY47" i="65037" s="1"/>
  <c r="E48" i="65037"/>
  <c r="E49" i="65037"/>
  <c r="C37" i="65053" s="1"/>
  <c r="E46" i="65037"/>
  <c r="C34" i="65053" s="1"/>
  <c r="C13" i="65053"/>
  <c r="C22" i="65042"/>
  <c r="D22" i="65042" s="1"/>
  <c r="FG167" i="65037"/>
  <c r="FI167" i="65037" s="1"/>
  <c r="FL167" i="65037" s="1"/>
  <c r="FP167" i="65037" s="1"/>
  <c r="FT167" i="65037" s="1"/>
  <c r="FX167" i="65037" s="1"/>
  <c r="GB167" i="65037" s="1"/>
  <c r="GF167" i="65037" s="1"/>
  <c r="GJ167" i="65037" s="1"/>
  <c r="GN167" i="65037" s="1"/>
  <c r="GR167" i="65037" s="1"/>
  <c r="GV167" i="65037" s="1"/>
  <c r="GZ167" i="65037" s="1"/>
  <c r="HD167" i="65037" s="1"/>
  <c r="HH167" i="65037" s="1"/>
  <c r="HL167" i="65037" s="1"/>
  <c r="HP167" i="65037" s="1"/>
  <c r="HT167" i="65037" s="1"/>
  <c r="HX167" i="65037" s="1"/>
  <c r="IB167" i="65037" s="1"/>
  <c r="IF167" i="65037" s="1"/>
  <c r="IJ167" i="65037" s="1"/>
  <c r="IN167" i="65037" s="1"/>
  <c r="IR167" i="65037" s="1"/>
  <c r="IV167" i="65037" s="1"/>
  <c r="E43" i="65037"/>
  <c r="C31" i="65053" s="1"/>
  <c r="E41" i="65037"/>
  <c r="CT71" i="65037" s="1"/>
  <c r="E44" i="65037"/>
  <c r="C32" i="65053" s="1"/>
  <c r="E40" i="65037"/>
  <c r="CY40" i="65037" s="1"/>
  <c r="E38" i="65037"/>
  <c r="E42" i="65037"/>
  <c r="C30" i="65053" s="1"/>
  <c r="E45" i="65037"/>
  <c r="C33" i="65053" s="1"/>
  <c r="Q7" i="65037"/>
  <c r="EN115" i="65037"/>
  <c r="F9" i="65049"/>
  <c r="H9" i="65049" s="1"/>
  <c r="P5" i="65037"/>
  <c r="DT45" i="65037"/>
  <c r="DT28" i="65037"/>
  <c r="FH106" i="65037"/>
  <c r="FG98" i="65037"/>
  <c r="FH48" i="65037"/>
  <c r="EN136" i="65037"/>
  <c r="X50" i="65052"/>
  <c r="FI41" i="65037"/>
  <c r="DU41" i="65037" s="1"/>
  <c r="FI39" i="65037"/>
  <c r="DU39" i="65037" s="1"/>
  <c r="DT38" i="65037"/>
  <c r="DT44" i="65037"/>
  <c r="FI49" i="65037"/>
  <c r="DU49" i="65037" s="1"/>
  <c r="DT39" i="65037"/>
  <c r="DT49" i="65037"/>
  <c r="FG91" i="65037"/>
  <c r="FI44" i="65037"/>
  <c r="DU44" i="65037" s="1"/>
  <c r="FG107" i="65037"/>
  <c r="FH49" i="65037"/>
  <c r="DT62" i="65037"/>
  <c r="FH107" i="65037"/>
  <c r="FG102" i="65037"/>
  <c r="FH44" i="65037"/>
  <c r="FH90" i="65037"/>
  <c r="FI29" i="65037"/>
  <c r="FJ29" i="65037" s="1"/>
  <c r="EN120" i="65037"/>
  <c r="EN114" i="65037"/>
  <c r="FH85" i="65037"/>
  <c r="FF96" i="65037"/>
  <c r="FF102" i="65037"/>
  <c r="EN119" i="65037"/>
  <c r="EN117" i="65037"/>
  <c r="EN112" i="65037"/>
  <c r="M63" i="65052"/>
  <c r="O63" i="65052" s="1"/>
  <c r="M65" i="65052"/>
  <c r="O65" i="65052" s="1"/>
  <c r="M62" i="65052"/>
  <c r="O62" i="65052" s="1"/>
  <c r="M64" i="65052"/>
  <c r="O64" i="65052" s="1"/>
  <c r="M66" i="65052"/>
  <c r="O66" i="65052" s="1"/>
  <c r="M67" i="65052"/>
  <c r="O67" i="65052" s="1"/>
  <c r="M61" i="65052"/>
  <c r="O61" i="65052" s="1"/>
  <c r="M60" i="65052"/>
  <c r="O60" i="65052" s="1"/>
  <c r="FH91" i="65037"/>
  <c r="FI33" i="65037"/>
  <c r="DU33" i="65037" s="1"/>
  <c r="FH33" i="65037"/>
  <c r="FF87" i="65037"/>
  <c r="FF83" i="65037"/>
  <c r="B18" i="65037"/>
  <c r="D104" i="65052"/>
  <c r="D121" i="65052" s="1"/>
  <c r="D130" i="65052" s="1"/>
  <c r="D139" i="65052" s="1"/>
  <c r="D103" i="65052"/>
  <c r="D120" i="65052" s="1"/>
  <c r="D129" i="65052" s="1"/>
  <c r="D138" i="65052" s="1"/>
  <c r="E103" i="65052"/>
  <c r="E104" i="65052"/>
  <c r="FH32" i="65037"/>
  <c r="DT32" i="65037"/>
  <c r="EN121" i="65037"/>
  <c r="EN131" i="65037"/>
  <c r="EN129" i="65037"/>
  <c r="EN128" i="65037"/>
  <c r="FH40" i="65037"/>
  <c r="FH94" i="65037"/>
  <c r="FG99" i="65037"/>
  <c r="FH41" i="65037"/>
  <c r="FH98" i="65037"/>
  <c r="FH31" i="65037"/>
  <c r="FI32" i="65037"/>
  <c r="DU32" i="65037" s="1"/>
  <c r="FF90" i="65037"/>
  <c r="DT43" i="65037"/>
  <c r="FH26" i="65037"/>
  <c r="FF93" i="65037"/>
  <c r="DT31" i="65037"/>
  <c r="FI26" i="65037"/>
  <c r="DU26" i="65037" s="1"/>
  <c r="FH84" i="65037"/>
  <c r="EN134" i="65037"/>
  <c r="FI40" i="65037"/>
  <c r="DU40" i="65037" s="1"/>
  <c r="FI31" i="65037"/>
  <c r="DU31" i="65037" s="1"/>
  <c r="DT26" i="65037"/>
  <c r="FG89" i="65037"/>
  <c r="EN113" i="65037"/>
  <c r="EN135" i="65037"/>
  <c r="FH46" i="65037"/>
  <c r="FI46" i="65037"/>
  <c r="DU46" i="65037" s="1"/>
  <c r="FI43" i="65037"/>
  <c r="DU43" i="65037" s="1"/>
  <c r="FH101" i="65037"/>
  <c r="FH38" i="65037"/>
  <c r="FI38" i="65037"/>
  <c r="DU38" i="65037" s="1"/>
  <c r="FH96" i="65037"/>
  <c r="FF94" i="65037"/>
  <c r="FG93" i="65037"/>
  <c r="FH35" i="65037"/>
  <c r="DT35" i="65037"/>
  <c r="DT46" i="65037"/>
  <c r="FG106" i="65037"/>
  <c r="FI48" i="65037"/>
  <c r="DU48" i="65037" s="1"/>
  <c r="FF100" i="65037"/>
  <c r="DS71" i="65037"/>
  <c r="FH95" i="65037"/>
  <c r="DT66" i="65037"/>
  <c r="FH104" i="65037"/>
  <c r="FG104" i="65037"/>
  <c r="FI35" i="65037"/>
  <c r="DU35" i="65037" s="1"/>
  <c r="DS59" i="65037"/>
  <c r="FF88" i="65037"/>
  <c r="FF86" i="65037"/>
  <c r="DS57" i="65037"/>
  <c r="FH27" i="65037"/>
  <c r="DT27" i="65037"/>
  <c r="L10" i="65037"/>
  <c r="B17" i="65037"/>
  <c r="EN130" i="65037"/>
  <c r="EN127" i="65037"/>
  <c r="EN126" i="65037"/>
  <c r="EN125" i="65037"/>
  <c r="EN124" i="65037"/>
  <c r="E37" i="65037"/>
  <c r="C25" i="65053" s="1"/>
  <c r="E36" i="65037"/>
  <c r="C24" i="65053" s="1"/>
  <c r="E35" i="65037"/>
  <c r="E34" i="65037"/>
  <c r="C14" i="65053"/>
  <c r="EN133" i="65037"/>
  <c r="DS56" i="65037"/>
  <c r="E28" i="65037"/>
  <c r="C16" i="65053" s="1"/>
  <c r="E31" i="65037"/>
  <c r="E30" i="65037"/>
  <c r="C18" i="65053" s="1"/>
  <c r="E32" i="65037"/>
  <c r="C20" i="65053" s="1"/>
  <c r="DT37" i="65037"/>
  <c r="FG95" i="65037"/>
  <c r="FI37" i="65037"/>
  <c r="DU37" i="65037" s="1"/>
  <c r="FH37" i="65037"/>
  <c r="FF92" i="65037"/>
  <c r="FI27" i="65037"/>
  <c r="DU27" i="65037" s="1"/>
  <c r="FF85" i="65037"/>
  <c r="FI25" i="65037"/>
  <c r="DU25" i="65037" s="1"/>
  <c r="DS64" i="65037"/>
  <c r="FG87" i="65037"/>
  <c r="DT29" i="65037"/>
  <c r="FH88" i="65037"/>
  <c r="FI30" i="65037"/>
  <c r="DU30" i="65037" s="1"/>
  <c r="FG88" i="65037"/>
  <c r="FH30" i="65037"/>
  <c r="EN122" i="65037"/>
  <c r="EN116" i="65037"/>
  <c r="E29" i="65037"/>
  <c r="B6" i="65037"/>
  <c r="P6" i="65037" s="1"/>
  <c r="BH5" i="65037"/>
  <c r="BG4" i="65037"/>
  <c r="D16" i="65052" s="1"/>
  <c r="J57" i="65052" s="1"/>
  <c r="AE24" i="65037"/>
  <c r="BL4" i="65037"/>
  <c r="C16" i="65052" s="1"/>
  <c r="BM5" i="65037"/>
  <c r="Q11" i="65037"/>
  <c r="P9" i="65037"/>
  <c r="Q9" i="65037" s="1"/>
  <c r="B10" i="65037"/>
  <c r="P11" i="65037"/>
  <c r="EN123" i="65037"/>
  <c r="EN118" i="65037"/>
  <c r="EN132" i="65037"/>
  <c r="DT57" i="65037"/>
  <c r="DT42" i="65037"/>
  <c r="FI42" i="65037"/>
  <c r="FG100" i="65037"/>
  <c r="FH42" i="65037"/>
  <c r="FH100" i="65037"/>
  <c r="FH28" i="65037"/>
  <c r="FH86" i="65037"/>
  <c r="FG86" i="65037"/>
  <c r="FI28" i="65037"/>
  <c r="DS54" i="65037"/>
  <c r="DM53" i="65037"/>
  <c r="FF99" i="65037"/>
  <c r="FG92" i="65037"/>
  <c r="DT34" i="65037"/>
  <c r="FH34" i="65037"/>
  <c r="FH92" i="65037"/>
  <c r="FI34" i="65037"/>
  <c r="FF91" i="65037"/>
  <c r="FF89" i="65037"/>
  <c r="FF84" i="65037"/>
  <c r="FH47" i="65037"/>
  <c r="FG105" i="65037"/>
  <c r="DT47" i="65037"/>
  <c r="FH105" i="65037"/>
  <c r="CQ50" i="65037"/>
  <c r="J21" i="65037" s="1"/>
  <c r="FG103" i="65037"/>
  <c r="FH45" i="65037"/>
  <c r="FI45" i="65037"/>
  <c r="FH103" i="65037"/>
  <c r="FG101" i="65037"/>
  <c r="FH97" i="65037"/>
  <c r="FG97" i="65037"/>
  <c r="FH29" i="65037"/>
  <c r="FH83" i="65037"/>
  <c r="FG83" i="65037"/>
  <c r="DT25" i="65037"/>
  <c r="FF104" i="65037"/>
  <c r="DT41" i="65037"/>
  <c r="FG94" i="65037"/>
  <c r="DT36" i="65037"/>
  <c r="FI36" i="65037"/>
  <c r="BQ93" i="65037"/>
  <c r="J11" i="65037" l="1"/>
  <c r="P12" i="65037"/>
  <c r="AM23" i="65037" s="1"/>
  <c r="Q13" i="65037"/>
  <c r="DU47" i="65037"/>
  <c r="FL47" i="65037"/>
  <c r="FM47" i="65037" s="1"/>
  <c r="FN47" i="65037" s="1"/>
  <c r="FJ41" i="65037"/>
  <c r="FJ99" i="65037" s="1"/>
  <c r="FH151" i="65037"/>
  <c r="AG26" i="65037"/>
  <c r="AG27" i="65037"/>
  <c r="AG28" i="65037"/>
  <c r="FH144" i="65037"/>
  <c r="FH143" i="65037"/>
  <c r="FH142" i="65037"/>
  <c r="DS75" i="65037"/>
  <c r="CT55" i="65037"/>
  <c r="CS25" i="65037"/>
  <c r="CT25" i="65037" s="1"/>
  <c r="EL112" i="65037"/>
  <c r="CS46" i="65037"/>
  <c r="CV46" i="65037" s="1"/>
  <c r="DT60" i="65037"/>
  <c r="DS67" i="65037"/>
  <c r="CT76" i="65037"/>
  <c r="DS65" i="65037"/>
  <c r="DS63" i="65037"/>
  <c r="CX48" i="65037"/>
  <c r="EL135" i="65037"/>
  <c r="CW49" i="65037"/>
  <c r="CS49" i="65037"/>
  <c r="CV49" i="65037" s="1"/>
  <c r="CT79" i="65037"/>
  <c r="CX49" i="65037"/>
  <c r="CW48" i="65037"/>
  <c r="CS48" i="65037"/>
  <c r="CU48" i="65037" s="1"/>
  <c r="CT78" i="65037"/>
  <c r="EL134" i="65037"/>
  <c r="EL136" i="65037"/>
  <c r="CY49" i="65037"/>
  <c r="CX47" i="65037"/>
  <c r="CW47" i="65037"/>
  <c r="CS47" i="65037"/>
  <c r="CT47" i="65037" s="1"/>
  <c r="CU77" i="65037"/>
  <c r="CT77" i="65037"/>
  <c r="CW46" i="65037"/>
  <c r="C35" i="65053"/>
  <c r="CX46" i="65037"/>
  <c r="CU76" i="65037"/>
  <c r="EL133" i="65037"/>
  <c r="CY48" i="65037"/>
  <c r="CY46" i="65037"/>
  <c r="C36" i="65053"/>
  <c r="FH153" i="65037"/>
  <c r="D19" i="65049"/>
  <c r="D81" i="65049"/>
  <c r="C23" i="65042"/>
  <c r="D23" i="65042" s="1"/>
  <c r="CY41" i="65037"/>
  <c r="CW43" i="65037"/>
  <c r="CX41" i="65037"/>
  <c r="CT74" i="65037"/>
  <c r="EL130" i="65037"/>
  <c r="CW41" i="65037"/>
  <c r="EL128" i="65037"/>
  <c r="CW42" i="65037"/>
  <c r="CX44" i="65037"/>
  <c r="EL129" i="65037"/>
  <c r="CS41" i="65037"/>
  <c r="CU41" i="65037" s="1"/>
  <c r="C29" i="65053"/>
  <c r="EL131" i="65037"/>
  <c r="CT73" i="65037"/>
  <c r="CY43" i="65037"/>
  <c r="CX43" i="65037"/>
  <c r="CS43" i="65037"/>
  <c r="CV43" i="65037" s="1"/>
  <c r="CS44" i="65037"/>
  <c r="CU44" i="65037" s="1"/>
  <c r="CW44" i="65037"/>
  <c r="CS42" i="65037"/>
  <c r="CT42" i="65037" s="1"/>
  <c r="CT72" i="65037"/>
  <c r="CX42" i="65037"/>
  <c r="CY44" i="65037"/>
  <c r="CT70" i="65037"/>
  <c r="CW45" i="65037"/>
  <c r="CW40" i="65037"/>
  <c r="CS40" i="65037"/>
  <c r="CT40" i="65037" s="1"/>
  <c r="EL127" i="65037"/>
  <c r="EL132" i="65037"/>
  <c r="C28" i="65053"/>
  <c r="CS45" i="65037"/>
  <c r="CU45" i="65037" s="1"/>
  <c r="CT75" i="65037"/>
  <c r="CX40" i="65037"/>
  <c r="CS38" i="65037"/>
  <c r="CT38" i="65037" s="1"/>
  <c r="EL126" i="65037"/>
  <c r="CS39" i="65037"/>
  <c r="CT39" i="65037" s="1"/>
  <c r="C27" i="65053"/>
  <c r="CW39" i="65037"/>
  <c r="CX39" i="65037"/>
  <c r="CT68" i="65037"/>
  <c r="C26" i="65053"/>
  <c r="CY39" i="65037"/>
  <c r="EL125" i="65037"/>
  <c r="CW38" i="65037"/>
  <c r="FH160" i="65037"/>
  <c r="FH161" i="65037"/>
  <c r="CY42" i="65037"/>
  <c r="CX45" i="65037"/>
  <c r="CY45" i="65037"/>
  <c r="EL124" i="65037"/>
  <c r="CW25" i="65037"/>
  <c r="M57" i="65052"/>
  <c r="N57" i="65052" s="1"/>
  <c r="O57" i="65052" s="1"/>
  <c r="Z50" i="65052"/>
  <c r="Z52" i="65052" s="1"/>
  <c r="Z53" i="65052" s="1"/>
  <c r="I21" i="65049"/>
  <c r="I19" i="65049"/>
  <c r="I26" i="65049"/>
  <c r="I23" i="65049"/>
  <c r="EL122" i="65037"/>
  <c r="C23" i="65053"/>
  <c r="EL114" i="65037"/>
  <c r="C15" i="65053"/>
  <c r="C17" i="65053"/>
  <c r="C19" i="65053"/>
  <c r="EL121" i="65037"/>
  <c r="C22" i="65053"/>
  <c r="FL41" i="65037"/>
  <c r="FM41" i="65037" s="1"/>
  <c r="FP41" i="65037" s="1"/>
  <c r="FQ41" i="65037" s="1"/>
  <c r="FJ49" i="65037"/>
  <c r="FK49" i="65037" s="1"/>
  <c r="FL49" i="65037"/>
  <c r="FM49" i="65037" s="1"/>
  <c r="FP49" i="65037" s="1"/>
  <c r="FQ49" i="65037" s="1"/>
  <c r="FJ39" i="65037"/>
  <c r="FJ97" i="65037" s="1"/>
  <c r="FL39" i="65037"/>
  <c r="FM39" i="65037" s="1"/>
  <c r="FP39" i="65037" s="1"/>
  <c r="FQ39" i="65037" s="1"/>
  <c r="FL44" i="65037"/>
  <c r="FM44" i="65037" s="1"/>
  <c r="DV44" i="65037" s="1"/>
  <c r="CS31" i="65037"/>
  <c r="CX31" i="65037" s="1"/>
  <c r="FL38" i="65037"/>
  <c r="FM38" i="65037" s="1"/>
  <c r="FP38" i="65037" s="1"/>
  <c r="FQ38" i="65037" s="1"/>
  <c r="FL33" i="65037"/>
  <c r="FM33" i="65037" s="1"/>
  <c r="FP33" i="65037" s="1"/>
  <c r="FQ33" i="65037" s="1"/>
  <c r="FJ44" i="65037"/>
  <c r="FJ102" i="65037" s="1"/>
  <c r="FJ43" i="65037"/>
  <c r="FJ101" i="65037" s="1"/>
  <c r="FJ31" i="65037"/>
  <c r="FK31" i="65037" s="1"/>
  <c r="FJ38" i="65037"/>
  <c r="FK38" i="65037" s="1"/>
  <c r="FJ30" i="65037"/>
  <c r="FJ88" i="65037" s="1"/>
  <c r="FL29" i="65037"/>
  <c r="FM29" i="65037" s="1"/>
  <c r="FP29" i="65037" s="1"/>
  <c r="FQ29" i="65037" s="1"/>
  <c r="EL118" i="65037"/>
  <c r="DU29" i="65037"/>
  <c r="FL25" i="65037"/>
  <c r="FM25" i="65037" s="1"/>
  <c r="DV25" i="65037" s="1"/>
  <c r="FJ35" i="65037"/>
  <c r="FJ93" i="65037" s="1"/>
  <c r="FJ25" i="65037"/>
  <c r="FJ83" i="65037" s="1"/>
  <c r="B58" i="65052"/>
  <c r="AF58" i="65052" s="1"/>
  <c r="EL113" i="65037"/>
  <c r="FL31" i="65037"/>
  <c r="FM31" i="65037" s="1"/>
  <c r="DV31" i="65037" s="1"/>
  <c r="FJ33" i="65037"/>
  <c r="FJ91" i="65037" s="1"/>
  <c r="FJ48" i="65037"/>
  <c r="FJ106" i="65037" s="1"/>
  <c r="FL43" i="65037"/>
  <c r="FM43" i="65037" s="1"/>
  <c r="DV43" i="65037" s="1"/>
  <c r="CS26" i="65037"/>
  <c r="CX26" i="65037" s="1"/>
  <c r="CS29" i="65037"/>
  <c r="CU59" i="65037" s="1"/>
  <c r="FL27" i="65037"/>
  <c r="FM27" i="65037" s="1"/>
  <c r="FN27" i="65037" s="1"/>
  <c r="CS35" i="65037"/>
  <c r="CX35" i="65037" s="1"/>
  <c r="E120" i="65052"/>
  <c r="E129" i="65052" s="1"/>
  <c r="AK71" i="65052"/>
  <c r="AK57" i="65052"/>
  <c r="FH152" i="65037"/>
  <c r="C21" i="65052"/>
  <c r="C27" i="65052" s="1"/>
  <c r="C32" i="65052" s="1"/>
  <c r="E16" i="65052"/>
  <c r="E21" i="65052" s="1"/>
  <c r="E27" i="65052" s="1"/>
  <c r="E32" i="65052" s="1"/>
  <c r="C37" i="65052"/>
  <c r="E107" i="65052"/>
  <c r="E121" i="65052"/>
  <c r="E130" i="65052" s="1"/>
  <c r="E139" i="65052" s="1"/>
  <c r="F16" i="65052"/>
  <c r="F21" i="65052" s="1"/>
  <c r="F27" i="65052" s="1"/>
  <c r="F32" i="65052" s="1"/>
  <c r="D21" i="65052"/>
  <c r="D27" i="65052" s="1"/>
  <c r="D32" i="65052" s="1"/>
  <c r="E110" i="65052"/>
  <c r="D37" i="65052"/>
  <c r="E106" i="65052"/>
  <c r="E123" i="65052" s="1"/>
  <c r="E132" i="65052" s="1"/>
  <c r="E141" i="65052" s="1"/>
  <c r="CW26" i="65037"/>
  <c r="CW35" i="65037"/>
  <c r="CW31" i="65037"/>
  <c r="CW29" i="65037"/>
  <c r="CT56" i="65037"/>
  <c r="CT61" i="65037"/>
  <c r="CT65" i="65037"/>
  <c r="AW10" i="65037"/>
  <c r="BB10" i="65037"/>
  <c r="CS34" i="65037"/>
  <c r="CW34" i="65037" s="1"/>
  <c r="FJ40" i="65037"/>
  <c r="FJ98" i="65037" s="1"/>
  <c r="FL40" i="65037"/>
  <c r="FM40" i="65037" s="1"/>
  <c r="DV40" i="65037" s="1"/>
  <c r="CW32" i="65037"/>
  <c r="FL46" i="65037"/>
  <c r="FM46" i="65037" s="1"/>
  <c r="DV46" i="65037" s="1"/>
  <c r="CS32" i="65037"/>
  <c r="CY32" i="65037" s="1"/>
  <c r="CT64" i="65037"/>
  <c r="CS28" i="65037"/>
  <c r="CY28" i="65037" s="1"/>
  <c r="FJ32" i="65037"/>
  <c r="FK32" i="65037" s="1"/>
  <c r="CS37" i="65037"/>
  <c r="CU37" i="65037" s="1"/>
  <c r="FL35" i="65037"/>
  <c r="FM35" i="65037" s="1"/>
  <c r="DV35" i="65037" s="1"/>
  <c r="CS36" i="65037"/>
  <c r="CY36" i="65037" s="1"/>
  <c r="DS78" i="65037"/>
  <c r="DS69" i="65037"/>
  <c r="FJ26" i="65037"/>
  <c r="FJ84" i="65037" s="1"/>
  <c r="FL32" i="65037"/>
  <c r="FM32" i="65037" s="1"/>
  <c r="DV32" i="65037" s="1"/>
  <c r="FL30" i="65037"/>
  <c r="FM30" i="65037" s="1"/>
  <c r="FP30" i="65037" s="1"/>
  <c r="FQ30" i="65037" s="1"/>
  <c r="FL26" i="65037"/>
  <c r="FM26" i="65037" s="1"/>
  <c r="DV26" i="65037" s="1"/>
  <c r="EL117" i="65037"/>
  <c r="FJ46" i="65037"/>
  <c r="FK46" i="65037" s="1"/>
  <c r="FL48" i="65037"/>
  <c r="FM48" i="65037" s="1"/>
  <c r="FP48" i="65037" s="1"/>
  <c r="FQ48" i="65037" s="1"/>
  <c r="CS27" i="65037"/>
  <c r="CW27" i="65037" s="1"/>
  <c r="EL123" i="65037"/>
  <c r="DT67" i="65037"/>
  <c r="DT75" i="65037"/>
  <c r="FJ27" i="65037"/>
  <c r="FJ85" i="65037" s="1"/>
  <c r="CT57" i="65037"/>
  <c r="G21" i="65049"/>
  <c r="N40" i="65049"/>
  <c r="J40" i="65049"/>
  <c r="F19" i="65049"/>
  <c r="H21" i="65049"/>
  <c r="H22" i="65049"/>
  <c r="K40" i="65049"/>
  <c r="D21" i="65049"/>
  <c r="E22" i="65049"/>
  <c r="F22" i="65049"/>
  <c r="M40" i="65049"/>
  <c r="F21" i="65049"/>
  <c r="G22" i="65049"/>
  <c r="L40" i="65049"/>
  <c r="E21" i="65049"/>
  <c r="D22" i="65049"/>
  <c r="EL116" i="65037"/>
  <c r="DS66" i="65037"/>
  <c r="EL115" i="65037"/>
  <c r="FJ37" i="65037"/>
  <c r="FJ95" i="65037" s="1"/>
  <c r="FL37" i="65037"/>
  <c r="FM37" i="65037" s="1"/>
  <c r="FP37" i="65037" s="1"/>
  <c r="FQ37" i="65037" s="1"/>
  <c r="EL119" i="65037"/>
  <c r="CT59" i="65037"/>
  <c r="EL120" i="65037"/>
  <c r="CS30" i="65037"/>
  <c r="CY30" i="65037" s="1"/>
  <c r="CS33" i="65037"/>
  <c r="CW33" i="65037" s="1"/>
  <c r="DT54" i="65037"/>
  <c r="AV84" i="65037"/>
  <c r="P17" i="65037"/>
  <c r="AT8" i="65037"/>
  <c r="AT24" i="65037" s="1"/>
  <c r="AT9" i="65037"/>
  <c r="BN84" i="65037"/>
  <c r="P18" i="65037"/>
  <c r="DS74" i="65037"/>
  <c r="DT22" i="65037"/>
  <c r="DT72" i="65037"/>
  <c r="DS60" i="65037"/>
  <c r="DU34" i="65037"/>
  <c r="FL34" i="65037"/>
  <c r="FM34" i="65037" s="1"/>
  <c r="FJ34" i="65037"/>
  <c r="DT76" i="65037"/>
  <c r="DS55" i="65037"/>
  <c r="FK29" i="65037"/>
  <c r="FJ87" i="65037"/>
  <c r="DU36" i="65037"/>
  <c r="FL36" i="65037"/>
  <c r="FM36" i="65037" s="1"/>
  <c r="FJ36" i="65037"/>
  <c r="DT70" i="65037"/>
  <c r="FL45" i="65037"/>
  <c r="FM45" i="65037" s="1"/>
  <c r="FJ45" i="65037"/>
  <c r="DU45" i="65037"/>
  <c r="DS62" i="65037"/>
  <c r="DS70" i="65037"/>
  <c r="FJ105" i="65037"/>
  <c r="FK47" i="65037"/>
  <c r="DU28" i="65037"/>
  <c r="FL28" i="65037"/>
  <c r="FM28" i="65037" s="1"/>
  <c r="FJ28" i="65037"/>
  <c r="DT71" i="65037"/>
  <c r="DT58" i="65037"/>
  <c r="DT63" i="65037"/>
  <c r="DU42" i="65037"/>
  <c r="FJ42" i="65037"/>
  <c r="FL42" i="65037"/>
  <c r="FM42" i="65037" s="1"/>
  <c r="CU56" i="65037" l="1"/>
  <c r="CU75" i="65037"/>
  <c r="CU70" i="65037"/>
  <c r="CU71" i="65037"/>
  <c r="CU55" i="65037"/>
  <c r="CU73" i="65037"/>
  <c r="CU72" i="65037"/>
  <c r="CU64" i="65037"/>
  <c r="CU65" i="65037"/>
  <c r="CU74" i="65037"/>
  <c r="CU79" i="65037"/>
  <c r="CU69" i="65037"/>
  <c r="CU78" i="65037"/>
  <c r="CV70" i="65037"/>
  <c r="CV74" i="65037"/>
  <c r="CV79" i="65037"/>
  <c r="CV78" i="65037"/>
  <c r="FA78" i="65037"/>
  <c r="FA74" i="65037"/>
  <c r="FA70" i="65037"/>
  <c r="FA75" i="65037"/>
  <c r="FA76" i="65037"/>
  <c r="FA77" i="65037"/>
  <c r="CV77" i="65037"/>
  <c r="CV76" i="65037"/>
  <c r="CV75" i="65037"/>
  <c r="FA72" i="65037"/>
  <c r="FA71" i="65037"/>
  <c r="FA73" i="65037"/>
  <c r="CV73" i="65037"/>
  <c r="CV72" i="65037"/>
  <c r="CV71" i="65037"/>
  <c r="FA66" i="65037"/>
  <c r="FA69" i="65037"/>
  <c r="FA67" i="65037"/>
  <c r="FA68" i="65037"/>
  <c r="CV69" i="65037"/>
  <c r="CV68" i="65037"/>
  <c r="CV67" i="65037"/>
  <c r="CV65" i="65037"/>
  <c r="CV63" i="65037"/>
  <c r="CV62" i="65037"/>
  <c r="CV61" i="65037"/>
  <c r="CV59" i="65037"/>
  <c r="CV56" i="65037"/>
  <c r="CV55" i="65037"/>
  <c r="FA65" i="65037"/>
  <c r="FA62" i="65037"/>
  <c r="FA63" i="65037"/>
  <c r="FA64" i="65037"/>
  <c r="FA60" i="65037"/>
  <c r="FA61" i="65037"/>
  <c r="FA58" i="65037"/>
  <c r="FA57" i="65037"/>
  <c r="FA55" i="65037"/>
  <c r="FA59" i="65037"/>
  <c r="FA56" i="65037"/>
  <c r="FA54" i="65037"/>
  <c r="CY25" i="65037"/>
  <c r="P10" i="65037"/>
  <c r="AU7" i="65037"/>
  <c r="Q6" i="65037"/>
  <c r="FK41" i="65037"/>
  <c r="DV47" i="65037"/>
  <c r="FP47" i="65037"/>
  <c r="FQ47" i="65037" s="1"/>
  <c r="FT47" i="65037" s="1"/>
  <c r="FU47" i="65037" s="1"/>
  <c r="DL70" i="65037"/>
  <c r="EW70" i="65037" s="1"/>
  <c r="EV70" i="65037" s="1"/>
  <c r="DL76" i="65037"/>
  <c r="EW76" i="65037" s="1"/>
  <c r="EV76" i="65037" s="1"/>
  <c r="DL78" i="65037"/>
  <c r="DL77" i="65037"/>
  <c r="DL75" i="65037"/>
  <c r="CT46" i="65037"/>
  <c r="CU46" i="65037"/>
  <c r="CX25" i="65037"/>
  <c r="CX33" i="65037"/>
  <c r="CX29" i="65037"/>
  <c r="CX38" i="65037"/>
  <c r="CU25" i="65037"/>
  <c r="CV25" i="65037"/>
  <c r="CU61" i="65037"/>
  <c r="CU67" i="65037"/>
  <c r="CU68" i="65037"/>
  <c r="CT49" i="65037"/>
  <c r="CU49" i="65037"/>
  <c r="V49" i="65037" s="1"/>
  <c r="X49" i="65037" s="1"/>
  <c r="CV48" i="65037"/>
  <c r="CT48" i="65037"/>
  <c r="CU47" i="65037"/>
  <c r="CV47" i="65037"/>
  <c r="AP57" i="65052"/>
  <c r="AQ57" i="65052" s="1"/>
  <c r="AR57" i="65052" s="1"/>
  <c r="CY38" i="65037"/>
  <c r="CY37" i="65037"/>
  <c r="CY35" i="65037"/>
  <c r="CY34" i="65037"/>
  <c r="CY33" i="65037"/>
  <c r="CY31" i="65037"/>
  <c r="CY29" i="65037"/>
  <c r="CY27" i="65037"/>
  <c r="CY26" i="65037"/>
  <c r="CT41" i="65037"/>
  <c r="CV40" i="65037"/>
  <c r="CV41" i="65037"/>
  <c r="V41" i="65037" s="1"/>
  <c r="CT44" i="65037"/>
  <c r="CV44" i="65037"/>
  <c r="V44" i="65037" s="1"/>
  <c r="CV42" i="65037"/>
  <c r="CU43" i="65037"/>
  <c r="V43" i="65037" s="1"/>
  <c r="CT43" i="65037"/>
  <c r="CU38" i="65037"/>
  <c r="CU42" i="65037"/>
  <c r="V42" i="65037" s="1"/>
  <c r="CT45" i="65037"/>
  <c r="CV38" i="65037"/>
  <c r="CV45" i="65037"/>
  <c r="V45" i="65037" s="1"/>
  <c r="CU40" i="65037"/>
  <c r="CV39" i="65037"/>
  <c r="CU39" i="65037"/>
  <c r="DL74" i="65037"/>
  <c r="EW74" i="65037" s="1"/>
  <c r="EV74" i="65037" s="1"/>
  <c r="DL72" i="65037"/>
  <c r="EW72" i="65037" s="1"/>
  <c r="EV72" i="65037" s="1"/>
  <c r="DL73" i="65037"/>
  <c r="EW73" i="65037" s="1"/>
  <c r="EV73" i="65037" s="1"/>
  <c r="DL71" i="65037"/>
  <c r="DL69" i="65037"/>
  <c r="EW69" i="65037" s="1"/>
  <c r="EV69" i="65037" s="1"/>
  <c r="DL67" i="65037"/>
  <c r="EW67" i="65037" s="1"/>
  <c r="EV67" i="65037" s="1"/>
  <c r="DL68" i="65037"/>
  <c r="EW68" i="65037" s="1"/>
  <c r="EV68" i="65037" s="1"/>
  <c r="DV41" i="65037"/>
  <c r="R121" i="65052"/>
  <c r="R117" i="65052"/>
  <c r="L116" i="65052"/>
  <c r="O121" i="65052"/>
  <c r="O117" i="65052"/>
  <c r="L114" i="65052"/>
  <c r="L115" i="65052"/>
  <c r="DV49" i="65037"/>
  <c r="FK39" i="65037"/>
  <c r="FJ107" i="65037"/>
  <c r="FJ136" i="65037" s="1"/>
  <c r="FN49" i="65037"/>
  <c r="FN107" i="65037" s="1"/>
  <c r="FK43" i="65037"/>
  <c r="FN41" i="65037"/>
  <c r="FN99" i="65037" s="1"/>
  <c r="FK44" i="65037"/>
  <c r="DV38" i="65037"/>
  <c r="CV31" i="65037"/>
  <c r="FK30" i="65037"/>
  <c r="FN39" i="65037"/>
  <c r="FN97" i="65037" s="1"/>
  <c r="DV39" i="65037"/>
  <c r="FN44" i="65037"/>
  <c r="FN102" i="65037" s="1"/>
  <c r="FN33" i="65037"/>
  <c r="FN91" i="65037" s="1"/>
  <c r="FP44" i="65037"/>
  <c r="FQ44" i="65037" s="1"/>
  <c r="DW44" i="65037" s="1"/>
  <c r="FN43" i="65037"/>
  <c r="FO43" i="65037" s="1"/>
  <c r="FN38" i="65037"/>
  <c r="FO38" i="65037" s="1"/>
  <c r="FN25" i="65037"/>
  <c r="FO25" i="65037" s="1"/>
  <c r="FJ96" i="65037"/>
  <c r="FK96" i="65037" s="1"/>
  <c r="FN46" i="65037"/>
  <c r="FN104" i="65037" s="1"/>
  <c r="DV29" i="65037"/>
  <c r="FK25" i="65037"/>
  <c r="FJ89" i="65037"/>
  <c r="FJ118" i="65037" s="1"/>
  <c r="FP25" i="65037"/>
  <c r="FQ25" i="65037" s="1"/>
  <c r="FT25" i="65037" s="1"/>
  <c r="FU25" i="65037" s="1"/>
  <c r="FN31" i="65037"/>
  <c r="FO31" i="65037" s="1"/>
  <c r="CV35" i="65037"/>
  <c r="CT31" i="65037"/>
  <c r="FP31" i="65037"/>
  <c r="FQ31" i="65037" s="1"/>
  <c r="FT31" i="65037" s="1"/>
  <c r="FU31" i="65037" s="1"/>
  <c r="FP27" i="65037"/>
  <c r="FQ27" i="65037" s="1"/>
  <c r="FR27" i="65037" s="1"/>
  <c r="FP40" i="65037"/>
  <c r="FQ40" i="65037" s="1"/>
  <c r="FT40" i="65037" s="1"/>
  <c r="FU40" i="65037" s="1"/>
  <c r="DV33" i="65037"/>
  <c r="FN29" i="65037"/>
  <c r="FO29" i="65037" s="1"/>
  <c r="FP32" i="65037"/>
  <c r="FQ32" i="65037" s="1"/>
  <c r="FT32" i="65037" s="1"/>
  <c r="FU32" i="65037" s="1"/>
  <c r="CU31" i="65037"/>
  <c r="FK33" i="65037"/>
  <c r="FK37" i="65037"/>
  <c r="FN40" i="65037"/>
  <c r="FO40" i="65037" s="1"/>
  <c r="FK35" i="65037"/>
  <c r="DV27" i="65037"/>
  <c r="FK40" i="65037"/>
  <c r="FP43" i="65037"/>
  <c r="FQ43" i="65037" s="1"/>
  <c r="FT43" i="65037" s="1"/>
  <c r="FU43" i="65037" s="1"/>
  <c r="FK26" i="65037"/>
  <c r="FN26" i="65037"/>
  <c r="FN84" i="65037" s="1"/>
  <c r="CX27" i="65037"/>
  <c r="CU26" i="65037"/>
  <c r="CV29" i="65037"/>
  <c r="B59" i="65052"/>
  <c r="AE59" i="65052" s="1"/>
  <c r="FK48" i="65037"/>
  <c r="CU35" i="65037"/>
  <c r="CT29" i="65037"/>
  <c r="AE58" i="65052"/>
  <c r="AD58" i="65052"/>
  <c r="FN32" i="65037"/>
  <c r="FN90" i="65037" s="1"/>
  <c r="FN48" i="65037"/>
  <c r="FN106" i="65037" s="1"/>
  <c r="FJ104" i="65037"/>
  <c r="FK104" i="65037" s="1"/>
  <c r="FN30" i="65037"/>
  <c r="FN88" i="65037" s="1"/>
  <c r="CT35" i="65037"/>
  <c r="CT26" i="65037"/>
  <c r="FK27" i="65037"/>
  <c r="DV37" i="65037"/>
  <c r="CV26" i="65037"/>
  <c r="CU29" i="65037"/>
  <c r="E138" i="65052"/>
  <c r="E111" i="65052"/>
  <c r="C110" i="65052"/>
  <c r="C111" i="65052"/>
  <c r="E124" i="65052"/>
  <c r="E133" i="65052" s="1"/>
  <c r="E142" i="65052" s="1"/>
  <c r="U124" i="65052"/>
  <c r="U117" i="65052"/>
  <c r="U121" i="65052"/>
  <c r="E112" i="65052"/>
  <c r="E114" i="65052" s="1"/>
  <c r="CW36" i="65037"/>
  <c r="CX37" i="65037"/>
  <c r="CW28" i="65037"/>
  <c r="CW37" i="65037"/>
  <c r="CW30" i="65037"/>
  <c r="CT33" i="65037"/>
  <c r="CV57" i="65037"/>
  <c r="CU30" i="65037"/>
  <c r="CV60" i="65037"/>
  <c r="CU34" i="65037"/>
  <c r="CV64" i="65037"/>
  <c r="CX28" i="65037"/>
  <c r="CV58" i="65037"/>
  <c r="CX36" i="65037"/>
  <c r="CV66" i="65037"/>
  <c r="CU63" i="65037"/>
  <c r="CX32" i="65037"/>
  <c r="CU62" i="65037"/>
  <c r="CV27" i="65037"/>
  <c r="CU57" i="65037"/>
  <c r="CU60" i="65037"/>
  <c r="CU58" i="65037"/>
  <c r="CU28" i="65037"/>
  <c r="CU66" i="65037"/>
  <c r="CT60" i="65037"/>
  <c r="CT62" i="65037"/>
  <c r="CT67" i="65037"/>
  <c r="CT63" i="65037"/>
  <c r="CT58" i="65037"/>
  <c r="CV28" i="65037"/>
  <c r="CU32" i="65037"/>
  <c r="CV37" i="65037"/>
  <c r="CT66" i="65037"/>
  <c r="CT28" i="65037"/>
  <c r="CV32" i="65037"/>
  <c r="CT32" i="65037"/>
  <c r="CT27" i="65037"/>
  <c r="CV34" i="65037"/>
  <c r="CT34" i="65037"/>
  <c r="CX30" i="65037"/>
  <c r="CT30" i="65037"/>
  <c r="CV30" i="65037"/>
  <c r="CX34" i="65037"/>
  <c r="FP46" i="65037"/>
  <c r="FQ46" i="65037" s="1"/>
  <c r="DW46" i="65037" s="1"/>
  <c r="FP26" i="65037"/>
  <c r="FQ26" i="65037" s="1"/>
  <c r="FT26" i="65037" s="1"/>
  <c r="FU26" i="65037" s="1"/>
  <c r="CV33" i="65037"/>
  <c r="CT37" i="65037"/>
  <c r="DV30" i="65037"/>
  <c r="DV48" i="65037"/>
  <c r="FN37" i="65037"/>
  <c r="FO37" i="65037" s="1"/>
  <c r="FP35" i="65037"/>
  <c r="FQ35" i="65037" s="1"/>
  <c r="FR35" i="65037" s="1"/>
  <c r="FJ90" i="65037"/>
  <c r="FK90" i="65037" s="1"/>
  <c r="FN35" i="65037"/>
  <c r="FN93" i="65037" s="1"/>
  <c r="CU36" i="65037"/>
  <c r="CV36" i="65037"/>
  <c r="CT36" i="65037"/>
  <c r="CU27" i="65037"/>
  <c r="DL62" i="65037"/>
  <c r="DL55" i="65037"/>
  <c r="DL65" i="65037"/>
  <c r="DL57" i="65037"/>
  <c r="DL61" i="65037"/>
  <c r="EW61" i="65037" s="1"/>
  <c r="EV61" i="65037" s="1"/>
  <c r="DL56" i="65037"/>
  <c r="DL59" i="65037"/>
  <c r="CU33" i="65037"/>
  <c r="DL58" i="65037"/>
  <c r="DL60" i="65037"/>
  <c r="DL66" i="65037"/>
  <c r="DL63" i="65037"/>
  <c r="EW63" i="65037" s="1"/>
  <c r="EV63" i="65037" s="1"/>
  <c r="DL54" i="65037"/>
  <c r="EW54" i="65037" s="1"/>
  <c r="DL64" i="65037"/>
  <c r="AT15" i="65037"/>
  <c r="BC18" i="65037" s="1"/>
  <c r="Q24" i="65037"/>
  <c r="BA115" i="65037"/>
  <c r="AW84" i="65037"/>
  <c r="BM84" i="65037"/>
  <c r="BO84" i="65037"/>
  <c r="BP84" i="65037" s="1"/>
  <c r="AC24" i="65037"/>
  <c r="AT11" i="65037"/>
  <c r="AT12" i="65037" s="1"/>
  <c r="AT14" i="65037" s="1"/>
  <c r="FN105" i="65037"/>
  <c r="FO47" i="65037"/>
  <c r="FK106" i="65037"/>
  <c r="FJ135" i="65037"/>
  <c r="FJ117" i="65037"/>
  <c r="FK88" i="65037"/>
  <c r="FJ94" i="65037"/>
  <c r="FK36" i="65037"/>
  <c r="FJ124" i="65037"/>
  <c r="FK95" i="65037"/>
  <c r="FN36" i="65037"/>
  <c r="DV36" i="65037"/>
  <c r="FP36" i="65037"/>
  <c r="FQ36" i="65037" s="1"/>
  <c r="FJ92" i="65037"/>
  <c r="FK34" i="65037"/>
  <c r="DV42" i="65037"/>
  <c r="FN42" i="65037"/>
  <c r="FP42" i="65037"/>
  <c r="FQ42" i="65037" s="1"/>
  <c r="FJ126" i="65037"/>
  <c r="FK97" i="65037"/>
  <c r="FJ122" i="65037"/>
  <c r="FK93" i="65037"/>
  <c r="FK99" i="65037"/>
  <c r="FJ128" i="65037"/>
  <c r="FR49" i="65037"/>
  <c r="DW49" i="65037"/>
  <c r="FT49" i="65037"/>
  <c r="FU49" i="65037" s="1"/>
  <c r="DV28" i="65037"/>
  <c r="FP28" i="65037"/>
  <c r="FQ28" i="65037" s="1"/>
  <c r="FN28" i="65037"/>
  <c r="FR41" i="65037"/>
  <c r="FT41" i="65037"/>
  <c r="FU41" i="65037" s="1"/>
  <c r="DW41" i="65037"/>
  <c r="FJ127" i="65037"/>
  <c r="FK98" i="65037"/>
  <c r="FR48" i="65037"/>
  <c r="DW48" i="65037"/>
  <c r="FT48" i="65037"/>
  <c r="FU48" i="65037" s="1"/>
  <c r="FT37" i="65037"/>
  <c r="FU37" i="65037" s="1"/>
  <c r="DW37" i="65037"/>
  <c r="FR37" i="65037"/>
  <c r="FJ116" i="65037"/>
  <c r="FK87" i="65037"/>
  <c r="FP34" i="65037"/>
  <c r="FQ34" i="65037" s="1"/>
  <c r="FN34" i="65037"/>
  <c r="DV34" i="65037"/>
  <c r="FJ130" i="65037"/>
  <c r="FK101" i="65037"/>
  <c r="FT38" i="65037"/>
  <c r="FU38" i="65037" s="1"/>
  <c r="DW38" i="65037"/>
  <c r="FR38" i="65037"/>
  <c r="FJ103" i="65037"/>
  <c r="FK45" i="65037"/>
  <c r="FK28" i="65037"/>
  <c r="FJ86" i="65037"/>
  <c r="FJ120" i="65037"/>
  <c r="FK91" i="65037"/>
  <c r="DV45" i="65037"/>
  <c r="FP45" i="65037"/>
  <c r="FQ45" i="65037" s="1"/>
  <c r="FN45" i="65037"/>
  <c r="FK42" i="65037"/>
  <c r="FJ100" i="65037"/>
  <c r="FJ114" i="65037"/>
  <c r="FK85" i="65037"/>
  <c r="FN85" i="65037"/>
  <c r="FO27" i="65037"/>
  <c r="DU22" i="65037"/>
  <c r="FT30" i="65037"/>
  <c r="FU30" i="65037" s="1"/>
  <c r="DW30" i="65037"/>
  <c r="FR30" i="65037"/>
  <c r="FK105" i="65037"/>
  <c r="FJ134" i="65037"/>
  <c r="FT33" i="65037"/>
  <c r="FU33" i="65037" s="1"/>
  <c r="DW33" i="65037"/>
  <c r="FR33" i="65037"/>
  <c r="DW29" i="65037"/>
  <c r="FR29" i="65037"/>
  <c r="FT29" i="65037"/>
  <c r="FU29" i="65037" s="1"/>
  <c r="FK84" i="65037"/>
  <c r="FJ113" i="65037"/>
  <c r="FK83" i="65037"/>
  <c r="FJ112" i="65037"/>
  <c r="FR39" i="65037"/>
  <c r="FT39" i="65037"/>
  <c r="FU39" i="65037" s="1"/>
  <c r="DW39" i="65037"/>
  <c r="FJ131" i="65037"/>
  <c r="FK102" i="65037"/>
  <c r="V48" i="65037" l="1"/>
  <c r="X48" i="65037" s="1"/>
  <c r="V46" i="65037"/>
  <c r="Y46" i="65037" s="1"/>
  <c r="D26" i="65037"/>
  <c r="Y74" i="65052" s="1"/>
  <c r="D35" i="65037"/>
  <c r="Y83" i="65052" s="1"/>
  <c r="D45" i="65037"/>
  <c r="D31" i="65037"/>
  <c r="D39" i="65037"/>
  <c r="Y87" i="65052" s="1"/>
  <c r="D38" i="65037"/>
  <c r="Y86" i="65052" s="1"/>
  <c r="D25" i="65037"/>
  <c r="Y73" i="65052" s="1"/>
  <c r="D37" i="65037"/>
  <c r="Y85" i="65052" s="1"/>
  <c r="D30" i="65037"/>
  <c r="Y78" i="65052" s="1"/>
  <c r="D43" i="65037"/>
  <c r="Y91" i="65052" s="1"/>
  <c r="D32" i="65037"/>
  <c r="Y80" i="65052" s="1"/>
  <c r="D44" i="65037"/>
  <c r="Y92" i="65052" s="1"/>
  <c r="D33" i="65037"/>
  <c r="Y81" i="65052" s="1"/>
  <c r="D46" i="65037"/>
  <c r="D34" i="65037"/>
  <c r="Y82" i="65052" s="1"/>
  <c r="D47" i="65037"/>
  <c r="Y95" i="65052" s="1"/>
  <c r="D48" i="65037"/>
  <c r="Y96" i="65052" s="1"/>
  <c r="D27" i="65037"/>
  <c r="D40" i="65037"/>
  <c r="Y88" i="65052" s="1"/>
  <c r="D28" i="65037"/>
  <c r="Y76" i="65052" s="1"/>
  <c r="D42" i="65037"/>
  <c r="Y90" i="65052" s="1"/>
  <c r="D36" i="65037"/>
  <c r="Y84" i="65052" s="1"/>
  <c r="D49" i="65037"/>
  <c r="Y97" i="65052" s="1"/>
  <c r="D41" i="65037"/>
  <c r="D29" i="65037"/>
  <c r="Y77" i="65052" s="1"/>
  <c r="V47" i="65037"/>
  <c r="Y47" i="65037" s="1"/>
  <c r="Y93" i="65052"/>
  <c r="BE150" i="65037"/>
  <c r="BF144" i="65037"/>
  <c r="BF146" i="65037"/>
  <c r="BH138" i="65037"/>
  <c r="BI150" i="65037"/>
  <c r="BD154" i="65037"/>
  <c r="BD142" i="65037"/>
  <c r="BA138" i="65037"/>
  <c r="BC133" i="65037"/>
  <c r="BB130" i="65037"/>
  <c r="BH130" i="65037"/>
  <c r="AZ150" i="65037"/>
  <c r="BA144" i="65037"/>
  <c r="BB138" i="65037"/>
  <c r="BF154" i="65037"/>
  <c r="BD150" i="65037"/>
  <c r="BA146" i="65037"/>
  <c r="BH141" i="65037"/>
  <c r="BF137" i="65037"/>
  <c r="BE132" i="65037"/>
  <c r="BH151" i="65037"/>
  <c r="BF147" i="65037"/>
  <c r="BC143" i="65037"/>
  <c r="AZ139" i="65037"/>
  <c r="BF134" i="65037"/>
  <c r="BH153" i="65037"/>
  <c r="BF149" i="65037"/>
  <c r="BC145" i="65037"/>
  <c r="AZ141" i="65037"/>
  <c r="BH136" i="65037"/>
  <c r="BC131" i="65037"/>
  <c r="BC139" i="65037"/>
  <c r="BB133" i="65037"/>
  <c r="BI153" i="65037"/>
  <c r="BC148" i="65037"/>
  <c r="BA141" i="65037"/>
  <c r="BI131" i="65037"/>
  <c r="BH154" i="65037"/>
  <c r="BI148" i="65037"/>
  <c r="AZ143" i="65037"/>
  <c r="BB137" i="65037"/>
  <c r="BA154" i="65037"/>
  <c r="BH149" i="65037"/>
  <c r="BF145" i="65037"/>
  <c r="BC141" i="65037"/>
  <c r="AZ137" i="65037"/>
  <c r="BG131" i="65037"/>
  <c r="BC151" i="65037"/>
  <c r="AZ147" i="65037"/>
  <c r="BH142" i="65037"/>
  <c r="BE138" i="65037"/>
  <c r="BH133" i="65037"/>
  <c r="BC153" i="65037"/>
  <c r="AZ149" i="65037"/>
  <c r="BH144" i="65037"/>
  <c r="BE140" i="65037"/>
  <c r="BB136" i="65037"/>
  <c r="BC130" i="65037"/>
  <c r="BG137" i="65037"/>
  <c r="BH132" i="65037"/>
  <c r="BA153" i="65037"/>
  <c r="BI147" i="65037"/>
  <c r="BA139" i="65037"/>
  <c r="BE131" i="65037"/>
  <c r="BD152" i="65037"/>
  <c r="BH143" i="65037"/>
  <c r="BF139" i="65037"/>
  <c r="BC135" i="65037"/>
  <c r="BH145" i="65037"/>
  <c r="BF141" i="65037"/>
  <c r="BC137" i="65037"/>
  <c r="BA132" i="65037"/>
  <c r="BF143" i="65037"/>
  <c r="AZ134" i="65037"/>
  <c r="BC154" i="65037"/>
  <c r="BG148" i="65037"/>
  <c r="BE141" i="65037"/>
  <c r="BG132" i="65037"/>
  <c r="AZ130" i="65037"/>
  <c r="AI7" i="65037"/>
  <c r="BG153" i="65037"/>
  <c r="BD148" i="65037"/>
  <c r="BE142" i="65037"/>
  <c r="BF136" i="65037"/>
  <c r="BF153" i="65037"/>
  <c r="BC149" i="65037"/>
  <c r="AZ145" i="65037"/>
  <c r="BH140" i="65037"/>
  <c r="BE136" i="65037"/>
  <c r="BF130" i="65037"/>
  <c r="BH150" i="65037"/>
  <c r="BE146" i="65037"/>
  <c r="BB142" i="65037"/>
  <c r="AZ138" i="65037"/>
  <c r="AZ133" i="65037"/>
  <c r="BH152" i="65037"/>
  <c r="BE148" i="65037"/>
  <c r="BB144" i="65037"/>
  <c r="AZ140" i="65037"/>
  <c r="BG135" i="65037"/>
  <c r="BB154" i="65037"/>
  <c r="AZ135" i="65037"/>
  <c r="BD132" i="65037"/>
  <c r="BI151" i="65037"/>
  <c r="BE147" i="65037"/>
  <c r="BC138" i="65037"/>
  <c r="BA148" i="65037"/>
  <c r="BA150" i="65037"/>
  <c r="BD115" i="65037"/>
  <c r="BB153" i="65037"/>
  <c r="BC147" i="65037"/>
  <c r="AZ142" i="65037"/>
  <c r="BF135" i="65037"/>
  <c r="AZ153" i="65037"/>
  <c r="BH148" i="65037"/>
  <c r="BE144" i="65037"/>
  <c r="BB140" i="65037"/>
  <c r="AZ136" i="65037"/>
  <c r="BE154" i="65037"/>
  <c r="BB150" i="65037"/>
  <c r="AZ146" i="65037"/>
  <c r="BG141" i="65037"/>
  <c r="BD137" i="65037"/>
  <c r="BB132" i="65037"/>
  <c r="BB152" i="65037"/>
  <c r="AZ148" i="65037"/>
  <c r="BG143" i="65037"/>
  <c r="BD139" i="65037"/>
  <c r="BB135" i="65037"/>
  <c r="BA152" i="65037"/>
  <c r="BD133" i="65037"/>
  <c r="AZ132" i="65037"/>
  <c r="BE151" i="65037"/>
  <c r="BE145" i="65037"/>
  <c r="BI137" i="65037"/>
  <c r="BF152" i="65037"/>
  <c r="BH146" i="65037"/>
  <c r="BI140" i="65037"/>
  <c r="BB134" i="65037"/>
  <c r="BB148" i="65037"/>
  <c r="AZ144" i="65037"/>
  <c r="BG139" i="65037"/>
  <c r="BD135" i="65037"/>
  <c r="AZ154" i="65037"/>
  <c r="BG149" i="65037"/>
  <c r="BD145" i="65037"/>
  <c r="BB141" i="65037"/>
  <c r="BI136" i="65037"/>
  <c r="BD131" i="65037"/>
  <c r="BG151" i="65037"/>
  <c r="BD147" i="65037"/>
  <c r="BB143" i="65037"/>
  <c r="BI138" i="65037"/>
  <c r="BE134" i="65037"/>
  <c r="BD149" i="65037"/>
  <c r="BH131" i="65037"/>
  <c r="BB131" i="65037"/>
  <c r="BA151" i="65037"/>
  <c r="BG144" i="65037"/>
  <c r="BI135" i="65037"/>
  <c r="BE152" i="65037"/>
  <c r="BF151" i="65037"/>
  <c r="BG145" i="65037"/>
  <c r="BD140" i="65037"/>
  <c r="BF132" i="65037"/>
  <c r="AZ152" i="65037"/>
  <c r="BG147" i="65037"/>
  <c r="BD143" i="65037"/>
  <c r="BB139" i="65037"/>
  <c r="BI134" i="65037"/>
  <c r="BD153" i="65037"/>
  <c r="BB149" i="65037"/>
  <c r="BI144" i="65037"/>
  <c r="BF140" i="65037"/>
  <c r="BD136" i="65037"/>
  <c r="BD130" i="65037"/>
  <c r="BB151" i="65037"/>
  <c r="BI146" i="65037"/>
  <c r="BF142" i="65037"/>
  <c r="BD138" i="65037"/>
  <c r="BG133" i="65037"/>
  <c r="BH147" i="65037"/>
  <c r="AZ131" i="65037"/>
  <c r="BA130" i="65037"/>
  <c r="BG150" i="65037"/>
  <c r="BC144" i="65037"/>
  <c r="BA135" i="65037"/>
  <c r="DK57" i="65037"/>
  <c r="AZ151" i="65037"/>
  <c r="BB145" i="65037"/>
  <c r="BH139" i="65037"/>
  <c r="BG130" i="65037"/>
  <c r="BD151" i="65037"/>
  <c r="BB147" i="65037"/>
  <c r="BI142" i="65037"/>
  <c r="BF138" i="65037"/>
  <c r="BA134" i="65037"/>
  <c r="BI152" i="65037"/>
  <c r="BF148" i="65037"/>
  <c r="BD144" i="65037"/>
  <c r="BA140" i="65037"/>
  <c r="BH135" i="65037"/>
  <c r="BI154" i="65037"/>
  <c r="BF150" i="65037"/>
  <c r="BD146" i="65037"/>
  <c r="BA142" i="65037"/>
  <c r="BH137" i="65037"/>
  <c r="BI132" i="65037"/>
  <c r="BB146" i="65037"/>
  <c r="BD134" i="65037"/>
  <c r="BG154" i="65037"/>
  <c r="BI149" i="65037"/>
  <c r="BC142" i="65037"/>
  <c r="BG134" i="65037"/>
  <c r="DK58" i="65037"/>
  <c r="DK74" i="65037"/>
  <c r="BA145" i="65037"/>
  <c r="BI141" i="65037"/>
  <c r="BG138" i="65037"/>
  <c r="BE135" i="65037"/>
  <c r="BC132" i="65037"/>
  <c r="DK66" i="65037"/>
  <c r="DK56" i="65037"/>
  <c r="DK65" i="65037"/>
  <c r="DK55" i="65037"/>
  <c r="DK64" i="65037"/>
  <c r="DK69" i="65037"/>
  <c r="DK63" i="65037"/>
  <c r="DK68" i="65037"/>
  <c r="DK76" i="65037"/>
  <c r="BD141" i="65037"/>
  <c r="BH134" i="65037"/>
  <c r="BF131" i="65037"/>
  <c r="BE153" i="65037"/>
  <c r="BC150" i="65037"/>
  <c r="BA147" i="65037"/>
  <c r="BI143" i="65037"/>
  <c r="BG140" i="65037"/>
  <c r="BE137" i="65037"/>
  <c r="BC134" i="65037"/>
  <c r="BA131" i="65037"/>
  <c r="DK67" i="65037"/>
  <c r="DK71" i="65037"/>
  <c r="DK61" i="65037"/>
  <c r="BG146" i="65037"/>
  <c r="BE143" i="65037"/>
  <c r="BC140" i="65037"/>
  <c r="BA137" i="65037"/>
  <c r="BI133" i="65037"/>
  <c r="DK54" i="65037"/>
  <c r="DK60" i="65037"/>
  <c r="DK77" i="65037"/>
  <c r="BI130" i="65037"/>
  <c r="BG152" i="65037"/>
  <c r="BE149" i="65037"/>
  <c r="BC146" i="65037"/>
  <c r="BA143" i="65037"/>
  <c r="BI139" i="65037"/>
  <c r="BG136" i="65037"/>
  <c r="BE133" i="65037"/>
  <c r="DK59" i="65037"/>
  <c r="DK73" i="65037"/>
  <c r="DK62" i="65037"/>
  <c r="BA136" i="65037"/>
  <c r="BF133" i="65037"/>
  <c r="BE130" i="65037"/>
  <c r="BC152" i="65037"/>
  <c r="BA149" i="65037"/>
  <c r="BI145" i="65037"/>
  <c r="BG142" i="65037"/>
  <c r="BE139" i="65037"/>
  <c r="BC136" i="65037"/>
  <c r="BA133" i="65037"/>
  <c r="DK78" i="65037"/>
  <c r="DK72" i="65037"/>
  <c r="DK70" i="65037"/>
  <c r="DK75" i="65037"/>
  <c r="DW47" i="65037"/>
  <c r="FR47" i="65037"/>
  <c r="FS47" i="65037" s="1"/>
  <c r="Y49" i="65037"/>
  <c r="W49" i="65037" s="1"/>
  <c r="X44" i="65037"/>
  <c r="Y44" i="65037"/>
  <c r="Y41" i="65037"/>
  <c r="X41" i="65037"/>
  <c r="X45" i="65037"/>
  <c r="X43" i="65037"/>
  <c r="V39" i="65037"/>
  <c r="V40" i="65037"/>
  <c r="V38" i="65037"/>
  <c r="V31" i="65037"/>
  <c r="Y45" i="65037"/>
  <c r="Y43" i="65037"/>
  <c r="Y42" i="65037"/>
  <c r="X42" i="65037"/>
  <c r="R120" i="65052"/>
  <c r="R118" i="65052"/>
  <c r="R115" i="65052"/>
  <c r="R119" i="65052"/>
  <c r="R116" i="65052"/>
  <c r="O119" i="65052"/>
  <c r="O114" i="65052"/>
  <c r="O120" i="65052"/>
  <c r="O118" i="65052"/>
  <c r="O115" i="65052"/>
  <c r="R114" i="65052"/>
  <c r="O116" i="65052"/>
  <c r="V32" i="65037"/>
  <c r="FK107" i="65037"/>
  <c r="Y58" i="65052"/>
  <c r="W58" i="65052" s="1"/>
  <c r="L58" i="65052" s="1"/>
  <c r="FO49" i="65037"/>
  <c r="FO46" i="65037"/>
  <c r="FO41" i="65037"/>
  <c r="FK89" i="65037"/>
  <c r="FN101" i="65037"/>
  <c r="FN130" i="65037" s="1"/>
  <c r="FN98" i="65037"/>
  <c r="FO98" i="65037" s="1"/>
  <c r="FN89" i="65037"/>
  <c r="FN118" i="65037" s="1"/>
  <c r="FO44" i="65037"/>
  <c r="FO33" i="65037"/>
  <c r="DW40" i="65037"/>
  <c r="FR40" i="65037"/>
  <c r="FS40" i="65037" s="1"/>
  <c r="FO39" i="65037"/>
  <c r="DW35" i="65037"/>
  <c r="FR25" i="65037"/>
  <c r="FR83" i="65037" s="1"/>
  <c r="FN87" i="65037"/>
  <c r="FN116" i="65037" s="1"/>
  <c r="DW31" i="65037"/>
  <c r="FT44" i="65037"/>
  <c r="FU44" i="65037" s="1"/>
  <c r="FV44" i="65037" s="1"/>
  <c r="FR32" i="65037"/>
  <c r="FS32" i="65037" s="1"/>
  <c r="FN96" i="65037"/>
  <c r="FN125" i="65037" s="1"/>
  <c r="FJ125" i="65037"/>
  <c r="FJ154" i="65037" s="1"/>
  <c r="FR44" i="65037"/>
  <c r="FS44" i="65037" s="1"/>
  <c r="FO26" i="65037"/>
  <c r="FT27" i="65037"/>
  <c r="FU27" i="65037" s="1"/>
  <c r="FV27" i="65037" s="1"/>
  <c r="FN83" i="65037"/>
  <c r="FN112" i="65037" s="1"/>
  <c r="FR31" i="65037"/>
  <c r="FR89" i="65037" s="1"/>
  <c r="DW25" i="65037"/>
  <c r="DW43" i="65037"/>
  <c r="DW27" i="65037"/>
  <c r="DW32" i="65037"/>
  <c r="FR43" i="65037"/>
  <c r="FR101" i="65037" s="1"/>
  <c r="FO48" i="65037"/>
  <c r="FO35" i="65037"/>
  <c r="FO30" i="65037"/>
  <c r="AD59" i="65052"/>
  <c r="AF59" i="65052"/>
  <c r="B60" i="65052"/>
  <c r="B61" i="65052" s="1"/>
  <c r="FO32" i="65037"/>
  <c r="FR46" i="65037"/>
  <c r="FS46" i="65037" s="1"/>
  <c r="FT35" i="65037"/>
  <c r="FU35" i="65037" s="1"/>
  <c r="FX35" i="65037" s="1"/>
  <c r="FY35" i="65037" s="1"/>
  <c r="V30" i="65037"/>
  <c r="FJ133" i="65037"/>
  <c r="FT46" i="65037"/>
  <c r="FU46" i="65037" s="1"/>
  <c r="FV46" i="65037" s="1"/>
  <c r="FJ119" i="65037"/>
  <c r="FJ148" i="65037" s="1"/>
  <c r="DW26" i="65037"/>
  <c r="FR26" i="65037"/>
  <c r="FR84" i="65037" s="1"/>
  <c r="U115" i="65052"/>
  <c r="E113" i="65052"/>
  <c r="E115" i="65052" s="1"/>
  <c r="U118" i="65052"/>
  <c r="U123" i="65052"/>
  <c r="U114" i="65052"/>
  <c r="U119" i="65052"/>
  <c r="U120" i="65052"/>
  <c r="U116" i="65052"/>
  <c r="FN95" i="65037"/>
  <c r="FO95" i="65037" s="1"/>
  <c r="EV54" i="65037"/>
  <c r="DV22" i="65037"/>
  <c r="AY100" i="65037"/>
  <c r="AY115" i="65037" s="1"/>
  <c r="R24" i="65037"/>
  <c r="O24" i="65037"/>
  <c r="AX115" i="65037"/>
  <c r="BE24" i="65037"/>
  <c r="DX30" i="65037"/>
  <c r="FX30" i="65037"/>
  <c r="FY30" i="65037" s="1"/>
  <c r="FV30" i="65037"/>
  <c r="FO85" i="65037"/>
  <c r="FN114" i="65037"/>
  <c r="FJ132" i="65037"/>
  <c r="FK103" i="65037"/>
  <c r="FS41" i="65037"/>
  <c r="FR99" i="65037"/>
  <c r="FJ165" i="65037"/>
  <c r="FN131" i="65037"/>
  <c r="FO102" i="65037"/>
  <c r="FJ142" i="65037"/>
  <c r="FS33" i="65037"/>
  <c r="FR91" i="65037"/>
  <c r="FN128" i="65037"/>
  <c r="FO99" i="65037"/>
  <c r="FN117" i="65037"/>
  <c r="FO88" i="65037"/>
  <c r="FR96" i="65037"/>
  <c r="FS38" i="65037"/>
  <c r="FJ159" i="65037"/>
  <c r="FR34" i="65037"/>
  <c r="FT34" i="65037"/>
  <c r="FU34" i="65037" s="1"/>
  <c r="DW34" i="65037"/>
  <c r="DX37" i="65037"/>
  <c r="FV37" i="65037"/>
  <c r="FX37" i="65037"/>
  <c r="FY37" i="65037" s="1"/>
  <c r="FR107" i="65037"/>
  <c r="FS49" i="65037"/>
  <c r="FJ151" i="65037"/>
  <c r="FJ155" i="65037"/>
  <c r="DW36" i="65037"/>
  <c r="FT36" i="65037"/>
  <c r="FU36" i="65037" s="1"/>
  <c r="FR36" i="65037"/>
  <c r="FO90" i="65037"/>
  <c r="FN119" i="65037"/>
  <c r="FV25" i="65037"/>
  <c r="FX25" i="65037"/>
  <c r="FY25" i="65037" s="1"/>
  <c r="DX25" i="65037"/>
  <c r="FJ146" i="65037"/>
  <c r="FN113" i="65037"/>
  <c r="FO84" i="65037"/>
  <c r="FR88" i="65037"/>
  <c r="FS30" i="65037"/>
  <c r="FJ143" i="65037"/>
  <c r="FO104" i="65037"/>
  <c r="FN133" i="65037"/>
  <c r="FN103" i="65037"/>
  <c r="FO45" i="65037"/>
  <c r="FN122" i="65037"/>
  <c r="FO93" i="65037"/>
  <c r="FS27" i="65037"/>
  <c r="FR85" i="65037"/>
  <c r="FJ145" i="65037"/>
  <c r="FX48" i="65037"/>
  <c r="FY48" i="65037" s="1"/>
  <c r="FV48" i="65037"/>
  <c r="DX48" i="65037"/>
  <c r="FJ156" i="65037"/>
  <c r="FN86" i="65037"/>
  <c r="FO28" i="65037"/>
  <c r="FJ157" i="65037"/>
  <c r="FR42" i="65037"/>
  <c r="FT42" i="65037"/>
  <c r="FU42" i="65037" s="1"/>
  <c r="DW42" i="65037"/>
  <c r="FJ121" i="65037"/>
  <c r="FK92" i="65037"/>
  <c r="FO97" i="65037"/>
  <c r="FN126" i="65037"/>
  <c r="FO107" i="65037"/>
  <c r="FN136" i="65037"/>
  <c r="FJ147" i="65037"/>
  <c r="DX26" i="65037"/>
  <c r="FX26" i="65037"/>
  <c r="FY26" i="65037" s="1"/>
  <c r="FV26" i="65037"/>
  <c r="FK94" i="65037"/>
  <c r="FJ123" i="65037"/>
  <c r="FO91" i="65037"/>
  <c r="FN120" i="65037"/>
  <c r="FN134" i="65037"/>
  <c r="FO105" i="65037"/>
  <c r="FR97" i="65037"/>
  <c r="FS39" i="65037"/>
  <c r="FJ141" i="65037"/>
  <c r="FS29" i="65037"/>
  <c r="FR87" i="65037"/>
  <c r="FJ163" i="65037"/>
  <c r="FX47" i="65037"/>
  <c r="FY47" i="65037" s="1"/>
  <c r="DX47" i="65037"/>
  <c r="FV47" i="65037"/>
  <c r="FK100" i="65037"/>
  <c r="FJ129" i="65037"/>
  <c r="FJ149" i="65037"/>
  <c r="FN92" i="65037"/>
  <c r="FO34" i="65037"/>
  <c r="FS48" i="65037"/>
  <c r="FR106" i="65037"/>
  <c r="FX31" i="65037"/>
  <c r="FY31" i="65037" s="1"/>
  <c r="FV31" i="65037"/>
  <c r="DX31" i="65037"/>
  <c r="FJ160" i="65037"/>
  <c r="FX39" i="65037"/>
  <c r="FY39" i="65037" s="1"/>
  <c r="DX39" i="65037"/>
  <c r="FV39" i="65037"/>
  <c r="DX29" i="65037"/>
  <c r="FX29" i="65037"/>
  <c r="FY29" i="65037" s="1"/>
  <c r="FV29" i="65037"/>
  <c r="DX33" i="65037"/>
  <c r="FV33" i="65037"/>
  <c r="FX33" i="65037"/>
  <c r="FY33" i="65037" s="1"/>
  <c r="FV43" i="65037"/>
  <c r="FX43" i="65037"/>
  <c r="FY43" i="65037" s="1"/>
  <c r="DX43" i="65037"/>
  <c r="FR93" i="65037"/>
  <c r="FS35" i="65037"/>
  <c r="FT45" i="65037"/>
  <c r="FU45" i="65037" s="1"/>
  <c r="DW45" i="65037"/>
  <c r="FR45" i="65037"/>
  <c r="FK86" i="65037"/>
  <c r="FJ115" i="65037"/>
  <c r="FV38" i="65037"/>
  <c r="FX38" i="65037"/>
  <c r="FY38" i="65037" s="1"/>
  <c r="DX38" i="65037"/>
  <c r="FX32" i="65037"/>
  <c r="FY32" i="65037" s="1"/>
  <c r="FV32" i="65037"/>
  <c r="DX32" i="65037"/>
  <c r="FS37" i="65037"/>
  <c r="FR95" i="65037"/>
  <c r="FV41" i="65037"/>
  <c r="FX41" i="65037"/>
  <c r="FY41" i="65037" s="1"/>
  <c r="DX41" i="65037"/>
  <c r="FT28" i="65037"/>
  <c r="FU28" i="65037" s="1"/>
  <c r="DW28" i="65037"/>
  <c r="FR28" i="65037"/>
  <c r="FV49" i="65037"/>
  <c r="DX49" i="65037"/>
  <c r="FX49" i="65037"/>
  <c r="FY49" i="65037" s="1"/>
  <c r="FN100" i="65037"/>
  <c r="FO42" i="65037"/>
  <c r="FO36" i="65037"/>
  <c r="FN94" i="65037"/>
  <c r="DX40" i="65037"/>
  <c r="FX40" i="65037"/>
  <c r="FY40" i="65037" s="1"/>
  <c r="FV40" i="65037"/>
  <c r="FJ153" i="65037"/>
  <c r="FO106" i="65037"/>
  <c r="FN135" i="65037"/>
  <c r="FJ164" i="65037"/>
  <c r="Y48" i="65037" l="1"/>
  <c r="X46" i="65037"/>
  <c r="W46" i="65037" s="1"/>
  <c r="DG57" i="65037"/>
  <c r="DD57" i="65037"/>
  <c r="DB57" i="65037" s="1"/>
  <c r="DE57" i="65037"/>
  <c r="DC57" i="65037" s="1"/>
  <c r="ES73" i="65037"/>
  <c r="DG73" i="65037"/>
  <c r="DE73" i="65037"/>
  <c r="DC73" i="65037" s="1"/>
  <c r="DD73" i="65037"/>
  <c r="DB73" i="65037" s="1"/>
  <c r="DG60" i="65037"/>
  <c r="DD60" i="65037"/>
  <c r="DB60" i="65037" s="1"/>
  <c r="DE60" i="65037"/>
  <c r="DC60" i="65037" s="1"/>
  <c r="DG69" i="65037"/>
  <c r="DE69" i="65037"/>
  <c r="DC69" i="65037" s="1"/>
  <c r="DD69" i="65037"/>
  <c r="DB69" i="65037" s="1"/>
  <c r="DG61" i="65037"/>
  <c r="DE61" i="65037"/>
  <c r="DC61" i="65037" s="1"/>
  <c r="DD61" i="65037"/>
  <c r="DB61" i="65037" s="1"/>
  <c r="ES74" i="65037"/>
  <c r="DG74" i="65037"/>
  <c r="DE74" i="65037"/>
  <c r="DC74" i="65037" s="1"/>
  <c r="DD74" i="65037"/>
  <c r="DB74" i="65037" s="1"/>
  <c r="DG56" i="65037"/>
  <c r="DE56" i="65037"/>
  <c r="DC56" i="65037" s="1"/>
  <c r="DD56" i="65037"/>
  <c r="DB56" i="65037" s="1"/>
  <c r="DG72" i="65037"/>
  <c r="DD72" i="65037"/>
  <c r="DB72" i="65037" s="1"/>
  <c r="DE72" i="65037"/>
  <c r="DC72" i="65037" s="1"/>
  <c r="DG64" i="65037"/>
  <c r="DE64" i="65037"/>
  <c r="DC64" i="65037" s="1"/>
  <c r="DD64" i="65037"/>
  <c r="DB64" i="65037" s="1"/>
  <c r="DG58" i="65037"/>
  <c r="DD58" i="65037"/>
  <c r="DB58" i="65037" s="1"/>
  <c r="DE58" i="65037"/>
  <c r="DC58" i="65037" s="1"/>
  <c r="ES77" i="65037"/>
  <c r="DG77" i="65037"/>
  <c r="DE77" i="65037"/>
  <c r="DC77" i="65037" s="1"/>
  <c r="DD77" i="65037"/>
  <c r="DB77" i="65037" s="1"/>
  <c r="DG59" i="65037"/>
  <c r="DD59" i="65037"/>
  <c r="DB59" i="65037" s="1"/>
  <c r="DE59" i="65037"/>
  <c r="DC59" i="65037" s="1"/>
  <c r="DG55" i="65037"/>
  <c r="DE55" i="65037"/>
  <c r="DC55" i="65037" s="1"/>
  <c r="DD55" i="65037"/>
  <c r="DB55" i="65037" s="1"/>
  <c r="DG70" i="65037"/>
  <c r="DE70" i="65037"/>
  <c r="DC70" i="65037" s="1"/>
  <c r="DD70" i="65037"/>
  <c r="DB70" i="65037" s="1"/>
  <c r="ES76" i="65037"/>
  <c r="DG76" i="65037"/>
  <c r="DD76" i="65037"/>
  <c r="DB76" i="65037" s="1"/>
  <c r="DE76" i="65037"/>
  <c r="DC76" i="65037" s="1"/>
  <c r="DG66" i="65037"/>
  <c r="DD66" i="65037"/>
  <c r="DB66" i="65037" s="1"/>
  <c r="DE66" i="65037"/>
  <c r="DC66" i="65037" s="1"/>
  <c r="Y79" i="65052"/>
  <c r="ES78" i="65037"/>
  <c r="DG78" i="65037"/>
  <c r="DE78" i="65037"/>
  <c r="DC78" i="65037" s="1"/>
  <c r="DD78" i="65037"/>
  <c r="DB78" i="65037" s="1"/>
  <c r="DG63" i="65037"/>
  <c r="DE63" i="65037"/>
  <c r="DC63" i="65037" s="1"/>
  <c r="DD63" i="65037"/>
  <c r="DB63" i="65037" s="1"/>
  <c r="DG54" i="65037"/>
  <c r="DE54" i="65037"/>
  <c r="DC54" i="65037" s="1"/>
  <c r="DD54" i="65037"/>
  <c r="DB54" i="65037" s="1"/>
  <c r="Y75" i="65052"/>
  <c r="DG65" i="65037"/>
  <c r="DD65" i="65037"/>
  <c r="DB65" i="65037" s="1"/>
  <c r="DE65" i="65037"/>
  <c r="DC65" i="65037" s="1"/>
  <c r="ES75" i="65037"/>
  <c r="DG75" i="65037"/>
  <c r="DD75" i="65037"/>
  <c r="DB75" i="65037" s="1"/>
  <c r="DE75" i="65037"/>
  <c r="DC75" i="65037" s="1"/>
  <c r="DG67" i="65037"/>
  <c r="DD67" i="65037"/>
  <c r="DB67" i="65037" s="1"/>
  <c r="DE67" i="65037"/>
  <c r="DC67" i="65037" s="1"/>
  <c r="ES71" i="65037"/>
  <c r="DG71" i="65037"/>
  <c r="DD71" i="65037"/>
  <c r="DB71" i="65037" s="1"/>
  <c r="DE71" i="65037"/>
  <c r="DC71" i="65037" s="1"/>
  <c r="DG62" i="65037"/>
  <c r="DE62" i="65037"/>
  <c r="DC62" i="65037" s="1"/>
  <c r="DD62" i="65037"/>
  <c r="DB62" i="65037" s="1"/>
  <c r="DG68" i="65037"/>
  <c r="DD68" i="65037"/>
  <c r="DB68" i="65037" s="1"/>
  <c r="DE68" i="65037"/>
  <c r="DC68" i="65037" s="1"/>
  <c r="X47" i="65037"/>
  <c r="W47" i="65037" s="1"/>
  <c r="Y94" i="65052"/>
  <c r="Y89" i="65052"/>
  <c r="AY154" i="65037"/>
  <c r="AY151" i="65037"/>
  <c r="AY140" i="65037"/>
  <c r="AY148" i="65037"/>
  <c r="AY132" i="65037"/>
  <c r="AY143" i="65037"/>
  <c r="AY142" i="65037"/>
  <c r="AY147" i="65037"/>
  <c r="AY138" i="65037"/>
  <c r="AY152" i="65037"/>
  <c r="AY145" i="65037"/>
  <c r="AY150" i="65037"/>
  <c r="AY131" i="65037"/>
  <c r="AY136" i="65037"/>
  <c r="AY137" i="65037"/>
  <c r="AY144" i="65037"/>
  <c r="AY130" i="65037"/>
  <c r="DK53" i="65037"/>
  <c r="AY149" i="65037"/>
  <c r="AY133" i="65037"/>
  <c r="AY135" i="65037"/>
  <c r="AY139" i="65037"/>
  <c r="AY153" i="65037"/>
  <c r="AY141" i="65037"/>
  <c r="AY134" i="65037"/>
  <c r="AY146" i="65037"/>
  <c r="FR105" i="65037"/>
  <c r="FS105" i="65037" s="1"/>
  <c r="W48" i="65037"/>
  <c r="W45" i="65037"/>
  <c r="W44" i="65037"/>
  <c r="W43" i="65037"/>
  <c r="W42" i="65037"/>
  <c r="W41" i="65037"/>
  <c r="Y39" i="65037"/>
  <c r="Y38" i="65037"/>
  <c r="X40" i="65037"/>
  <c r="X39" i="65037"/>
  <c r="Y31" i="65037"/>
  <c r="X38" i="65037"/>
  <c r="Y40" i="65037"/>
  <c r="X31" i="65037"/>
  <c r="X32" i="65037"/>
  <c r="FX27" i="65037"/>
  <c r="FY27" i="65037" s="1"/>
  <c r="GB27" i="65037" s="1"/>
  <c r="GC27" i="65037" s="1"/>
  <c r="Y32" i="65037"/>
  <c r="FS25" i="65037"/>
  <c r="DX44" i="65037"/>
  <c r="FN127" i="65037"/>
  <c r="FN156" i="65037" s="1"/>
  <c r="Y59" i="65052"/>
  <c r="W59" i="65052" s="1"/>
  <c r="L59" i="65052" s="1"/>
  <c r="FR90" i="65037"/>
  <c r="FS90" i="65037" s="1"/>
  <c r="FR98" i="65037"/>
  <c r="FS98" i="65037" s="1"/>
  <c r="FO96" i="65037"/>
  <c r="Y30" i="65037"/>
  <c r="X30" i="65037"/>
  <c r="FO101" i="65037"/>
  <c r="FO89" i="65037"/>
  <c r="FX44" i="65037"/>
  <c r="FY44" i="65037" s="1"/>
  <c r="GB44" i="65037" s="1"/>
  <c r="GC44" i="65037" s="1"/>
  <c r="FO83" i="65037"/>
  <c r="FO87" i="65037"/>
  <c r="FS31" i="65037"/>
  <c r="DX27" i="65037"/>
  <c r="DX35" i="65037"/>
  <c r="FR102" i="65037"/>
  <c r="FS102" i="65037" s="1"/>
  <c r="FR104" i="65037"/>
  <c r="FS104" i="65037" s="1"/>
  <c r="FJ162" i="65037"/>
  <c r="FJ191" i="65037" s="1"/>
  <c r="FX46" i="65037"/>
  <c r="FY46" i="65037" s="1"/>
  <c r="GB46" i="65037" s="1"/>
  <c r="GC46" i="65037" s="1"/>
  <c r="FS43" i="65037"/>
  <c r="FV35" i="65037"/>
  <c r="FW35" i="65037" s="1"/>
  <c r="DX46" i="65037"/>
  <c r="FN124" i="65037"/>
  <c r="AF60" i="65052"/>
  <c r="AD60" i="65052"/>
  <c r="AE60" i="65052"/>
  <c r="FS26" i="65037"/>
  <c r="B62" i="65052"/>
  <c r="AF61" i="65052"/>
  <c r="AD61" i="65052"/>
  <c r="AE61" i="65052"/>
  <c r="AD24" i="65037"/>
  <c r="AW100" i="65037"/>
  <c r="FV98" i="65037"/>
  <c r="FW40" i="65037"/>
  <c r="FW49" i="65037"/>
  <c r="FV107" i="65037"/>
  <c r="FS28" i="65037"/>
  <c r="FR86" i="65037"/>
  <c r="FV90" i="65037"/>
  <c r="FW32" i="65037"/>
  <c r="FZ33" i="65037"/>
  <c r="GB33" i="65037"/>
  <c r="GC33" i="65037" s="1"/>
  <c r="DY33" i="65037"/>
  <c r="FS83" i="65037"/>
  <c r="FR112" i="65037"/>
  <c r="FO92" i="65037"/>
  <c r="FN121" i="65037"/>
  <c r="FK149" i="65037"/>
  <c r="FJ178" i="65037"/>
  <c r="FV105" i="65037"/>
  <c r="FW47" i="65037"/>
  <c r="FK163" i="65037"/>
  <c r="FJ192" i="65037"/>
  <c r="FJ170" i="65037"/>
  <c r="FK141" i="65037"/>
  <c r="FN163" i="65037"/>
  <c r="FO103" i="65037"/>
  <c r="FN132" i="65037"/>
  <c r="FV95" i="65037"/>
  <c r="FW37" i="65037"/>
  <c r="FR120" i="65037"/>
  <c r="FS91" i="65037"/>
  <c r="FR103" i="65037"/>
  <c r="FS45" i="65037"/>
  <c r="FS93" i="65037"/>
  <c r="FR122" i="65037"/>
  <c r="DY29" i="65037"/>
  <c r="GB29" i="65037"/>
  <c r="GC29" i="65037" s="1"/>
  <c r="FZ29" i="65037"/>
  <c r="DY39" i="65037"/>
  <c r="GB39" i="65037"/>
  <c r="GC39" i="65037" s="1"/>
  <c r="FZ39" i="65037"/>
  <c r="FZ35" i="65037"/>
  <c r="GB35" i="65037"/>
  <c r="GC35" i="65037" s="1"/>
  <c r="DY35" i="65037"/>
  <c r="FV85" i="65037"/>
  <c r="FW27" i="65037"/>
  <c r="FK156" i="65037"/>
  <c r="FJ185" i="65037"/>
  <c r="DY48" i="65037"/>
  <c r="GB48" i="65037"/>
  <c r="GC48" i="65037" s="1"/>
  <c r="FZ48" i="65037"/>
  <c r="FR114" i="65037"/>
  <c r="FS85" i="65037"/>
  <c r="FN162" i="65037"/>
  <c r="FN154" i="65037"/>
  <c r="FN148" i="65037"/>
  <c r="FS36" i="65037"/>
  <c r="FR94" i="65037"/>
  <c r="FJ184" i="65037"/>
  <c r="FK155" i="65037"/>
  <c r="FR136" i="65037"/>
  <c r="FS107" i="65037"/>
  <c r="FJ161" i="65037"/>
  <c r="FW44" i="65037"/>
  <c r="FV102" i="65037"/>
  <c r="FJ177" i="65037"/>
  <c r="FK148" i="65037"/>
  <c r="FZ41" i="65037"/>
  <c r="GB41" i="65037"/>
  <c r="GC41" i="65037" s="1"/>
  <c r="DY41" i="65037"/>
  <c r="FR124" i="65037"/>
  <c r="FS95" i="65037"/>
  <c r="FV96" i="65037"/>
  <c r="FW38" i="65037"/>
  <c r="FN159" i="65037"/>
  <c r="DY26" i="65037"/>
  <c r="GB26" i="65037"/>
  <c r="GC26" i="65037" s="1"/>
  <c r="FZ26" i="65037"/>
  <c r="FN165" i="65037"/>
  <c r="FV42" i="65037"/>
  <c r="DX42" i="65037"/>
  <c r="FX42" i="65037"/>
  <c r="FY42" i="65037" s="1"/>
  <c r="FN142" i="65037"/>
  <c r="FV36" i="65037"/>
  <c r="FX36" i="65037"/>
  <c r="FY36" i="65037" s="1"/>
  <c r="DX36" i="65037"/>
  <c r="FJ188" i="65037"/>
  <c r="FK159" i="65037"/>
  <c r="FN157" i="65037"/>
  <c r="FK165" i="65037"/>
  <c r="FJ194" i="65037"/>
  <c r="FW30" i="65037"/>
  <c r="FV88" i="65037"/>
  <c r="FJ193" i="65037"/>
  <c r="FK164" i="65037"/>
  <c r="DY40" i="65037"/>
  <c r="GB40" i="65037"/>
  <c r="GC40" i="65037" s="1"/>
  <c r="FZ40" i="65037"/>
  <c r="DW22" i="65037"/>
  <c r="FV99" i="65037"/>
  <c r="FW41" i="65037"/>
  <c r="DY32" i="65037"/>
  <c r="FZ32" i="65037"/>
  <c r="GB32" i="65037"/>
  <c r="GC32" i="65037" s="1"/>
  <c r="FJ144" i="65037"/>
  <c r="FJ152" i="65037"/>
  <c r="FJ150" i="65037"/>
  <c r="FR100" i="65037"/>
  <c r="FS42" i="65037"/>
  <c r="FK157" i="65037"/>
  <c r="FJ186" i="65037"/>
  <c r="GB25" i="65037"/>
  <c r="GC25" i="65037" s="1"/>
  <c r="FZ25" i="65037"/>
  <c r="DY25" i="65037"/>
  <c r="FZ37" i="65037"/>
  <c r="GB37" i="65037"/>
  <c r="GC37" i="65037" s="1"/>
  <c r="DY37" i="65037"/>
  <c r="FX34" i="65037"/>
  <c r="FY34" i="65037" s="1"/>
  <c r="DX34" i="65037"/>
  <c r="FV34" i="65037"/>
  <c r="FN160" i="65037"/>
  <c r="FK153" i="65037"/>
  <c r="FJ182" i="65037"/>
  <c r="GB49" i="65037"/>
  <c r="GC49" i="65037" s="1"/>
  <c r="FZ49" i="65037"/>
  <c r="DY49" i="65037"/>
  <c r="FV28" i="65037"/>
  <c r="DX28" i="65037"/>
  <c r="FX28" i="65037"/>
  <c r="FY28" i="65037" s="1"/>
  <c r="FX45" i="65037"/>
  <c r="FY45" i="65037" s="1"/>
  <c r="FV45" i="65037"/>
  <c r="DX45" i="65037"/>
  <c r="GB43" i="65037"/>
  <c r="GC43" i="65037" s="1"/>
  <c r="DY43" i="65037"/>
  <c r="FZ43" i="65037"/>
  <c r="FW33" i="65037"/>
  <c r="FV91" i="65037"/>
  <c r="FV97" i="65037"/>
  <c r="FW39" i="65037"/>
  <c r="FK160" i="65037"/>
  <c r="FJ189" i="65037"/>
  <c r="FW31" i="65037"/>
  <c r="FV89" i="65037"/>
  <c r="FN141" i="65037"/>
  <c r="FN147" i="65037"/>
  <c r="FS87" i="65037"/>
  <c r="FR116" i="65037"/>
  <c r="FN149" i="65037"/>
  <c r="FJ176" i="65037"/>
  <c r="FK147" i="65037"/>
  <c r="FN155" i="65037"/>
  <c r="FJ183" i="65037"/>
  <c r="FK154" i="65037"/>
  <c r="FK145" i="65037"/>
  <c r="FJ174" i="65037"/>
  <c r="FV83" i="65037"/>
  <c r="FW25" i="65037"/>
  <c r="FS34" i="65037"/>
  <c r="FR92" i="65037"/>
  <c r="FR125" i="65037"/>
  <c r="FS96" i="65037"/>
  <c r="FN146" i="65037"/>
  <c r="FS101" i="65037"/>
  <c r="FR130" i="65037"/>
  <c r="FR113" i="65037"/>
  <c r="FS84" i="65037"/>
  <c r="FS99" i="65037"/>
  <c r="FR128" i="65037"/>
  <c r="GB30" i="65037"/>
  <c r="GC30" i="65037" s="1"/>
  <c r="DY30" i="65037"/>
  <c r="FZ30" i="65037"/>
  <c r="FN164" i="65037"/>
  <c r="FO94" i="65037"/>
  <c r="FN123" i="65037"/>
  <c r="FS89" i="65037"/>
  <c r="FR118" i="65037"/>
  <c r="FO100" i="65037"/>
  <c r="FN129" i="65037"/>
  <c r="FN145" i="65037"/>
  <c r="FV104" i="65037"/>
  <c r="FW46" i="65037"/>
  <c r="GB38" i="65037"/>
  <c r="GC38" i="65037" s="1"/>
  <c r="FZ38" i="65037"/>
  <c r="DY38" i="65037"/>
  <c r="FV101" i="65037"/>
  <c r="FW43" i="65037"/>
  <c r="FV87" i="65037"/>
  <c r="FW29" i="65037"/>
  <c r="GB31" i="65037"/>
  <c r="GC31" i="65037" s="1"/>
  <c r="DY31" i="65037"/>
  <c r="FZ31" i="65037"/>
  <c r="FS106" i="65037"/>
  <c r="FR135" i="65037"/>
  <c r="FJ158" i="65037"/>
  <c r="GB47" i="65037"/>
  <c r="GC47" i="65037" s="1"/>
  <c r="FZ47" i="65037"/>
  <c r="DY47" i="65037"/>
  <c r="FR126" i="65037"/>
  <c r="FS97" i="65037"/>
  <c r="FW26" i="65037"/>
  <c r="FV84" i="65037"/>
  <c r="FN115" i="65037"/>
  <c r="FO86" i="65037"/>
  <c r="FW48" i="65037"/>
  <c r="FV106" i="65037"/>
  <c r="FN151" i="65037"/>
  <c r="FK143" i="65037"/>
  <c r="FJ172" i="65037"/>
  <c r="FR117" i="65037"/>
  <c r="FS88" i="65037"/>
  <c r="FK146" i="65037"/>
  <c r="FJ175" i="65037"/>
  <c r="FJ180" i="65037"/>
  <c r="FK151" i="65037"/>
  <c r="FJ171" i="65037"/>
  <c r="FK142" i="65037"/>
  <c r="FN143" i="65037"/>
  <c r="DA78" i="65037" l="1"/>
  <c r="CZ78" i="65037" s="1"/>
  <c r="DA55" i="65037"/>
  <c r="CZ55" i="65037" s="1"/>
  <c r="DA62" i="65037"/>
  <c r="CZ62" i="65037" s="1"/>
  <c r="DA63" i="65037"/>
  <c r="CZ63" i="65037" s="1"/>
  <c r="DA70" i="65037"/>
  <c r="CZ70" i="65037" s="1"/>
  <c r="DA60" i="65037"/>
  <c r="CZ60" i="65037" s="1"/>
  <c r="DA77" i="65037"/>
  <c r="CZ77" i="65037" s="1"/>
  <c r="DA74" i="65037"/>
  <c r="CZ74" i="65037" s="1"/>
  <c r="DA69" i="65037"/>
  <c r="CZ69" i="65037" s="1"/>
  <c r="DA73" i="65037"/>
  <c r="CZ73" i="65037" s="1"/>
  <c r="DA54" i="65037"/>
  <c r="CZ54" i="65037" s="1"/>
  <c r="DA64" i="65037"/>
  <c r="CZ64" i="65037" s="1"/>
  <c r="DA71" i="65037"/>
  <c r="CZ71" i="65037" s="1"/>
  <c r="DA65" i="65037"/>
  <c r="CZ65" i="65037" s="1"/>
  <c r="DA59" i="65037"/>
  <c r="CZ59" i="65037" s="1"/>
  <c r="DA58" i="65037"/>
  <c r="CZ58" i="65037" s="1"/>
  <c r="DA72" i="65037"/>
  <c r="CZ72" i="65037" s="1"/>
  <c r="DA66" i="65037"/>
  <c r="CZ66" i="65037" s="1"/>
  <c r="DA67" i="65037"/>
  <c r="CZ67" i="65037" s="1"/>
  <c r="DA56" i="65037"/>
  <c r="CZ56" i="65037" s="1"/>
  <c r="DA61" i="65037"/>
  <c r="CZ61" i="65037" s="1"/>
  <c r="DA57" i="65037"/>
  <c r="CZ57" i="65037" s="1"/>
  <c r="DA68" i="65037"/>
  <c r="CZ68" i="65037" s="1"/>
  <c r="DA75" i="65037"/>
  <c r="CZ75" i="65037" s="1"/>
  <c r="DA76" i="65037"/>
  <c r="CZ76" i="65037" s="1"/>
  <c r="FR134" i="65037"/>
  <c r="FR163" i="65037" s="1"/>
  <c r="W39" i="65037"/>
  <c r="W40" i="65037"/>
  <c r="W31" i="65037"/>
  <c r="W38" i="65037"/>
  <c r="W32" i="65037"/>
  <c r="W30" i="65037"/>
  <c r="DY46" i="65037"/>
  <c r="DY27" i="65037"/>
  <c r="FZ27" i="65037"/>
  <c r="FZ85" i="65037" s="1"/>
  <c r="FR127" i="65037"/>
  <c r="FR119" i="65037"/>
  <c r="FR148" i="65037" s="1"/>
  <c r="DY44" i="65037"/>
  <c r="FZ44" i="65037"/>
  <c r="FZ102" i="65037" s="1"/>
  <c r="FR131" i="65037"/>
  <c r="FR160" i="65037" s="1"/>
  <c r="FV93" i="65037"/>
  <c r="FW93" i="65037" s="1"/>
  <c r="FR133" i="65037"/>
  <c r="FK162" i="65037"/>
  <c r="FN153" i="65037"/>
  <c r="FN182" i="65037" s="1"/>
  <c r="FZ46" i="65037"/>
  <c r="GA46" i="65037" s="1"/>
  <c r="B63" i="65052"/>
  <c r="AF62" i="65052"/>
  <c r="AD62" i="65052"/>
  <c r="AE62" i="65052"/>
  <c r="DX22" i="65037"/>
  <c r="AF24" i="65037"/>
  <c r="GA47" i="65037"/>
  <c r="FZ105" i="65037"/>
  <c r="FW104" i="65037"/>
  <c r="FV133" i="65037"/>
  <c r="FR146" i="65037"/>
  <c r="FN180" i="65037"/>
  <c r="FO151" i="65037"/>
  <c r="FN144" i="65037"/>
  <c r="FR155" i="65037"/>
  <c r="GA38" i="65037"/>
  <c r="FZ96" i="65037"/>
  <c r="FO145" i="65037"/>
  <c r="FN174" i="65037"/>
  <c r="FS92" i="65037"/>
  <c r="FR121" i="65037"/>
  <c r="FR145" i="65037"/>
  <c r="GF27" i="65037"/>
  <c r="GG27" i="65037" s="1"/>
  <c r="DZ27" i="65037"/>
  <c r="GD27" i="65037"/>
  <c r="FN170" i="65037"/>
  <c r="FO141" i="65037"/>
  <c r="GA43" i="65037"/>
  <c r="FZ101" i="65037"/>
  <c r="FV103" i="65037"/>
  <c r="FW45" i="65037"/>
  <c r="FV86" i="65037"/>
  <c r="FW28" i="65037"/>
  <c r="FW34" i="65037"/>
  <c r="FV92" i="65037"/>
  <c r="GF37" i="65037"/>
  <c r="GG37" i="65037" s="1"/>
  <c r="DZ37" i="65037"/>
  <c r="GD37" i="65037"/>
  <c r="GD25" i="65037"/>
  <c r="DZ25" i="65037"/>
  <c r="GF25" i="65037"/>
  <c r="GG25" i="65037" s="1"/>
  <c r="FZ90" i="65037"/>
  <c r="GA32" i="65037"/>
  <c r="DZ26" i="65037"/>
  <c r="GD26" i="65037"/>
  <c r="GF26" i="65037"/>
  <c r="GG26" i="65037" s="1"/>
  <c r="FN188" i="65037"/>
  <c r="FO159" i="65037"/>
  <c r="FR153" i="65037"/>
  <c r="FV131" i="65037"/>
  <c r="FW102" i="65037"/>
  <c r="FJ190" i="65037"/>
  <c r="FK161" i="65037"/>
  <c r="FO148" i="65037"/>
  <c r="FN177" i="65037"/>
  <c r="FN191" i="65037"/>
  <c r="FO162" i="65037"/>
  <c r="FZ106" i="65037"/>
  <c r="GA48" i="65037"/>
  <c r="GF39" i="65037"/>
  <c r="GG39" i="65037" s="1"/>
  <c r="GD39" i="65037"/>
  <c r="DZ39" i="65037"/>
  <c r="FO163" i="65037"/>
  <c r="FN192" i="65037"/>
  <c r="FR141" i="65037"/>
  <c r="FO143" i="65037"/>
  <c r="FN172" i="65037"/>
  <c r="FO156" i="65037"/>
  <c r="FN185" i="65037"/>
  <c r="FV135" i="65037"/>
  <c r="FW106" i="65037"/>
  <c r="FW84" i="65037"/>
  <c r="FV113" i="65037"/>
  <c r="FJ187" i="65037"/>
  <c r="FK158" i="65037"/>
  <c r="FR164" i="65037"/>
  <c r="GD31" i="65037"/>
  <c r="DZ31" i="65037"/>
  <c r="GF31" i="65037"/>
  <c r="GG31" i="65037" s="1"/>
  <c r="FW87" i="65037"/>
  <c r="FV116" i="65037"/>
  <c r="DZ38" i="65037"/>
  <c r="GD38" i="65037"/>
  <c r="GF38" i="65037"/>
  <c r="GG38" i="65037" s="1"/>
  <c r="FN158" i="65037"/>
  <c r="FN152" i="65037"/>
  <c r="GA30" i="65037"/>
  <c r="FZ88" i="65037"/>
  <c r="FV112" i="65037"/>
  <c r="FW83" i="65037"/>
  <c r="FV118" i="65037"/>
  <c r="FW89" i="65037"/>
  <c r="DY45" i="65037"/>
  <c r="GB45" i="65037"/>
  <c r="GC45" i="65037" s="1"/>
  <c r="FZ45" i="65037"/>
  <c r="FZ107" i="65037"/>
  <c r="GA49" i="65037"/>
  <c r="GA37" i="65037"/>
  <c r="FZ95" i="65037"/>
  <c r="FK150" i="65037"/>
  <c r="FJ179" i="65037"/>
  <c r="FK152" i="65037"/>
  <c r="FJ181" i="65037"/>
  <c r="GD44" i="65037"/>
  <c r="DZ44" i="65037"/>
  <c r="GF44" i="65037"/>
  <c r="GG44" i="65037" s="1"/>
  <c r="FO142" i="65037"/>
  <c r="FN171" i="65037"/>
  <c r="FV100" i="65037"/>
  <c r="FW42" i="65037"/>
  <c r="FN194" i="65037"/>
  <c r="FO165" i="65037"/>
  <c r="FR123" i="65037"/>
  <c r="FS94" i="65037"/>
  <c r="FR143" i="65037"/>
  <c r="DZ48" i="65037"/>
  <c r="GF48" i="65037"/>
  <c r="GG48" i="65037" s="1"/>
  <c r="GD48" i="65037"/>
  <c r="GF35" i="65037"/>
  <c r="GG35" i="65037" s="1"/>
  <c r="DZ35" i="65037"/>
  <c r="GD35" i="65037"/>
  <c r="FZ87" i="65037"/>
  <c r="GA29" i="65037"/>
  <c r="FS103" i="65037"/>
  <c r="FR132" i="65037"/>
  <c r="FV124" i="65037"/>
  <c r="FW95" i="65037"/>
  <c r="FV119" i="65037"/>
  <c r="FW90" i="65037"/>
  <c r="FS86" i="65037"/>
  <c r="FR115" i="65037"/>
  <c r="FR142" i="65037"/>
  <c r="FO146" i="65037"/>
  <c r="FN175" i="65037"/>
  <c r="FN176" i="65037"/>
  <c r="FO147" i="65037"/>
  <c r="FW97" i="65037"/>
  <c r="FV126" i="65037"/>
  <c r="FW91" i="65037"/>
  <c r="FV120" i="65037"/>
  <c r="GF43" i="65037"/>
  <c r="GG43" i="65037" s="1"/>
  <c r="DZ43" i="65037"/>
  <c r="GD43" i="65037"/>
  <c r="FZ28" i="65037"/>
  <c r="GB28" i="65037"/>
  <c r="GC28" i="65037" s="1"/>
  <c r="DY28" i="65037"/>
  <c r="GD49" i="65037"/>
  <c r="DZ49" i="65037"/>
  <c r="GF49" i="65037"/>
  <c r="GG49" i="65037" s="1"/>
  <c r="FN189" i="65037"/>
  <c r="FO160" i="65037"/>
  <c r="DY34" i="65037"/>
  <c r="GB34" i="65037"/>
  <c r="GC34" i="65037" s="1"/>
  <c r="FZ34" i="65037"/>
  <c r="FJ173" i="65037"/>
  <c r="FK144" i="65037"/>
  <c r="FV128" i="65037"/>
  <c r="FW99" i="65037"/>
  <c r="FZ98" i="65037"/>
  <c r="GA40" i="65037"/>
  <c r="FW88" i="65037"/>
  <c r="FV117" i="65037"/>
  <c r="GB36" i="65037"/>
  <c r="GC36" i="65037" s="1"/>
  <c r="FZ36" i="65037"/>
  <c r="DY36" i="65037"/>
  <c r="FV125" i="65037"/>
  <c r="FW96" i="65037"/>
  <c r="GD41" i="65037"/>
  <c r="DZ41" i="65037"/>
  <c r="GF41" i="65037"/>
  <c r="GG41" i="65037" s="1"/>
  <c r="FR165" i="65037"/>
  <c r="FO154" i="65037"/>
  <c r="FN183" i="65037"/>
  <c r="FV114" i="65037"/>
  <c r="FW85" i="65037"/>
  <c r="FZ93" i="65037"/>
  <c r="GA35" i="65037"/>
  <c r="GF29" i="65037"/>
  <c r="GG29" i="65037" s="1"/>
  <c r="DZ29" i="65037"/>
  <c r="GD29" i="65037"/>
  <c r="FR151" i="65037"/>
  <c r="FN161" i="65037"/>
  <c r="FV134" i="65037"/>
  <c r="FW105" i="65037"/>
  <c r="FN150" i="65037"/>
  <c r="GF33" i="65037"/>
  <c r="GG33" i="65037" s="1"/>
  <c r="DZ33" i="65037"/>
  <c r="GD33" i="65037"/>
  <c r="GD46" i="65037"/>
  <c r="DZ46" i="65037"/>
  <c r="GF46" i="65037"/>
  <c r="GG46" i="65037" s="1"/>
  <c r="FV127" i="65037"/>
  <c r="FW98" i="65037"/>
  <c r="GF47" i="65037"/>
  <c r="GG47" i="65037" s="1"/>
  <c r="GD47" i="65037"/>
  <c r="DZ47" i="65037"/>
  <c r="FZ89" i="65037"/>
  <c r="GA31" i="65037"/>
  <c r="FV130" i="65037"/>
  <c r="FW101" i="65037"/>
  <c r="FR147" i="65037"/>
  <c r="FN193" i="65037"/>
  <c r="FO164" i="65037"/>
  <c r="DZ30" i="65037"/>
  <c r="GF30" i="65037"/>
  <c r="GG30" i="65037" s="1"/>
  <c r="GD30" i="65037"/>
  <c r="FR157" i="65037"/>
  <c r="FR159" i="65037"/>
  <c r="FR154" i="65037"/>
  <c r="FN184" i="65037"/>
  <c r="FO155" i="65037"/>
  <c r="FO149" i="65037"/>
  <c r="FN178" i="65037"/>
  <c r="FZ83" i="65037"/>
  <c r="GA25" i="65037"/>
  <c r="FS100" i="65037"/>
  <c r="FR129" i="65037"/>
  <c r="GD32" i="65037"/>
  <c r="GF32" i="65037"/>
  <c r="GG32" i="65037" s="1"/>
  <c r="DZ32" i="65037"/>
  <c r="GD40" i="65037"/>
  <c r="GF40" i="65037"/>
  <c r="GG40" i="65037" s="1"/>
  <c r="DZ40" i="65037"/>
  <c r="FO157" i="65037"/>
  <c r="FN186" i="65037"/>
  <c r="FV94" i="65037"/>
  <c r="FW36" i="65037"/>
  <c r="FZ42" i="65037"/>
  <c r="GB42" i="65037"/>
  <c r="GC42" i="65037" s="1"/>
  <c r="DY42" i="65037"/>
  <c r="FZ84" i="65037"/>
  <c r="GA26" i="65037"/>
  <c r="FZ99" i="65037"/>
  <c r="GA41" i="65037"/>
  <c r="GA39" i="65037"/>
  <c r="FZ97" i="65037"/>
  <c r="FR149" i="65037"/>
  <c r="FZ91" i="65037"/>
  <c r="GA33" i="65037"/>
  <c r="FW107" i="65037"/>
  <c r="FV136" i="65037"/>
  <c r="CZ53" i="65037" l="1"/>
  <c r="AH24" i="65037"/>
  <c r="AI24" i="65037" s="1"/>
  <c r="AJ24" i="65037" s="1"/>
  <c r="AG24" i="65037"/>
  <c r="GA27" i="65037"/>
  <c r="FO153" i="65037"/>
  <c r="GA44" i="65037"/>
  <c r="FR156" i="65037"/>
  <c r="FS156" i="65037" s="1"/>
  <c r="FR162" i="65037"/>
  <c r="FS162" i="65037" s="1"/>
  <c r="FZ104" i="65037"/>
  <c r="FZ133" i="65037" s="1"/>
  <c r="FV122" i="65037"/>
  <c r="B64" i="65052"/>
  <c r="AF63" i="65052"/>
  <c r="AE63" i="65052"/>
  <c r="AD63" i="65052"/>
  <c r="FV123" i="65037"/>
  <c r="FW94" i="65037"/>
  <c r="EA32" i="65037"/>
  <c r="GJ32" i="65037"/>
  <c r="GK32" i="65037" s="1"/>
  <c r="GH32" i="65037"/>
  <c r="GD88" i="65037"/>
  <c r="GE30" i="65037"/>
  <c r="GE47" i="65037"/>
  <c r="GD105" i="65037"/>
  <c r="GJ46" i="65037"/>
  <c r="GK46" i="65037" s="1"/>
  <c r="GH46" i="65037"/>
  <c r="EA46" i="65037"/>
  <c r="FV163" i="65037"/>
  <c r="GJ29" i="65037"/>
  <c r="GK29" i="65037" s="1"/>
  <c r="EA29" i="65037"/>
  <c r="GH29" i="65037"/>
  <c r="GA98" i="65037"/>
  <c r="FZ127" i="65037"/>
  <c r="DY22" i="65037"/>
  <c r="GE49" i="65037"/>
  <c r="GD107" i="65037"/>
  <c r="GE43" i="65037"/>
  <c r="GD101" i="65037"/>
  <c r="FR144" i="65037"/>
  <c r="FR161" i="65037"/>
  <c r="GJ35" i="65037"/>
  <c r="GK35" i="65037" s="1"/>
  <c r="EA35" i="65037"/>
  <c r="GH35" i="65037"/>
  <c r="FW100" i="65037"/>
  <c r="FV129" i="65037"/>
  <c r="GJ44" i="65037"/>
  <c r="GK44" i="65037" s="1"/>
  <c r="GH44" i="65037"/>
  <c r="EA44" i="65037"/>
  <c r="FR193" i="65037"/>
  <c r="FS164" i="65037"/>
  <c r="FV142" i="65037"/>
  <c r="GH39" i="65037"/>
  <c r="EA39" i="65037"/>
  <c r="GJ39" i="65037"/>
  <c r="GK39" i="65037" s="1"/>
  <c r="FS153" i="65037"/>
  <c r="FR182" i="65037"/>
  <c r="GD84" i="65037"/>
  <c r="GE26" i="65037"/>
  <c r="FZ131" i="65037"/>
  <c r="GA102" i="65037"/>
  <c r="GJ25" i="65037"/>
  <c r="GK25" i="65037" s="1"/>
  <c r="GH25" i="65037"/>
  <c r="EA25" i="65037"/>
  <c r="FZ130" i="65037"/>
  <c r="GA101" i="65037"/>
  <c r="FN173" i="65037"/>
  <c r="FO144" i="65037"/>
  <c r="FS146" i="65037"/>
  <c r="FR175" i="65037"/>
  <c r="FR177" i="65037"/>
  <c r="FS148" i="65037"/>
  <c r="GE32" i="65037"/>
  <c r="GD90" i="65037"/>
  <c r="FZ112" i="65037"/>
  <c r="GA83" i="65037"/>
  <c r="FZ114" i="65037"/>
  <c r="GA85" i="65037"/>
  <c r="FR188" i="65037"/>
  <c r="FS159" i="65037"/>
  <c r="GH30" i="65037"/>
  <c r="EA30" i="65037"/>
  <c r="GJ30" i="65037"/>
  <c r="GK30" i="65037" s="1"/>
  <c r="FS147" i="65037"/>
  <c r="FR176" i="65037"/>
  <c r="GH47" i="65037"/>
  <c r="GJ47" i="65037"/>
  <c r="GK47" i="65037" s="1"/>
  <c r="EA47" i="65037"/>
  <c r="GJ33" i="65037"/>
  <c r="GK33" i="65037" s="1"/>
  <c r="EA33" i="65037"/>
  <c r="GH33" i="65037"/>
  <c r="FS151" i="65037"/>
  <c r="FR180" i="65037"/>
  <c r="GA93" i="65037"/>
  <c r="FZ122" i="65037"/>
  <c r="FR194" i="65037"/>
  <c r="FS165" i="65037"/>
  <c r="GE41" i="65037"/>
  <c r="GD99" i="65037"/>
  <c r="FZ94" i="65037"/>
  <c r="GA36" i="65037"/>
  <c r="FV146" i="65037"/>
  <c r="FZ92" i="65037"/>
  <c r="GA34" i="65037"/>
  <c r="FV155" i="65037"/>
  <c r="FZ116" i="65037"/>
  <c r="GA87" i="65037"/>
  <c r="GE48" i="65037"/>
  <c r="GD106" i="65037"/>
  <c r="FR172" i="65037"/>
  <c r="FS143" i="65037"/>
  <c r="FS160" i="65037"/>
  <c r="FR189" i="65037"/>
  <c r="FZ136" i="65037"/>
  <c r="GA107" i="65037"/>
  <c r="GA45" i="65037"/>
  <c r="FZ103" i="65037"/>
  <c r="FV147" i="65037"/>
  <c r="GJ38" i="65037"/>
  <c r="GK38" i="65037" s="1"/>
  <c r="EA38" i="65037"/>
  <c r="GH38" i="65037"/>
  <c r="GJ31" i="65037"/>
  <c r="GK31" i="65037" s="1"/>
  <c r="EA31" i="65037"/>
  <c r="GH31" i="65037"/>
  <c r="FR170" i="65037"/>
  <c r="FS141" i="65037"/>
  <c r="GH37" i="65037"/>
  <c r="EA37" i="65037"/>
  <c r="GJ37" i="65037"/>
  <c r="GK37" i="65037" s="1"/>
  <c r="GD85" i="65037"/>
  <c r="GE27" i="65037"/>
  <c r="FS145" i="65037"/>
  <c r="FR174" i="65037"/>
  <c r="FV162" i="65037"/>
  <c r="GA105" i="65037"/>
  <c r="FZ134" i="65037"/>
  <c r="FZ120" i="65037"/>
  <c r="GA91" i="65037"/>
  <c r="GA97" i="65037"/>
  <c r="FZ126" i="65037"/>
  <c r="GA99" i="65037"/>
  <c r="FZ128" i="65037"/>
  <c r="GD98" i="65037"/>
  <c r="GE40" i="65037"/>
  <c r="FZ113" i="65037"/>
  <c r="GA84" i="65037"/>
  <c r="DZ42" i="65037"/>
  <c r="GF42" i="65037"/>
  <c r="GG42" i="65037" s="1"/>
  <c r="GD42" i="65037"/>
  <c r="FR158" i="65037"/>
  <c r="FS154" i="65037"/>
  <c r="FR183" i="65037"/>
  <c r="FV156" i="65037"/>
  <c r="GD104" i="65037"/>
  <c r="GE46" i="65037"/>
  <c r="FN179" i="65037"/>
  <c r="FO150" i="65037"/>
  <c r="FO161" i="65037"/>
  <c r="FN190" i="65037"/>
  <c r="GE29" i="65037"/>
  <c r="GD87" i="65037"/>
  <c r="DZ36" i="65037"/>
  <c r="GF36" i="65037"/>
  <c r="GG36" i="65037" s="1"/>
  <c r="GD36" i="65037"/>
  <c r="FV157" i="65037"/>
  <c r="GF34" i="65037"/>
  <c r="GG34" i="65037" s="1"/>
  <c r="DZ34" i="65037"/>
  <c r="GD34" i="65037"/>
  <c r="GJ49" i="65037"/>
  <c r="GK49" i="65037" s="1"/>
  <c r="GH49" i="65037"/>
  <c r="EA49" i="65037"/>
  <c r="GD28" i="65037"/>
  <c r="GF28" i="65037"/>
  <c r="GG28" i="65037" s="1"/>
  <c r="DZ28" i="65037"/>
  <c r="EA43" i="65037"/>
  <c r="GH43" i="65037"/>
  <c r="GJ43" i="65037"/>
  <c r="GK43" i="65037" s="1"/>
  <c r="FS142" i="65037"/>
  <c r="FR171" i="65037"/>
  <c r="GD93" i="65037"/>
  <c r="GE35" i="65037"/>
  <c r="EA48" i="65037"/>
  <c r="GJ48" i="65037"/>
  <c r="GK48" i="65037" s="1"/>
  <c r="GH48" i="65037"/>
  <c r="FR152" i="65037"/>
  <c r="GD102" i="65037"/>
  <c r="GE44" i="65037"/>
  <c r="FZ124" i="65037"/>
  <c r="GA95" i="65037"/>
  <c r="GF45" i="65037"/>
  <c r="GG45" i="65037" s="1"/>
  <c r="GD45" i="65037"/>
  <c r="DZ45" i="65037"/>
  <c r="FN181" i="65037"/>
  <c r="FO152" i="65037"/>
  <c r="GE38" i="65037"/>
  <c r="GD96" i="65037"/>
  <c r="GA106" i="65037"/>
  <c r="FZ135" i="65037"/>
  <c r="FV160" i="65037"/>
  <c r="GD83" i="65037"/>
  <c r="GE25" i="65037"/>
  <c r="FW92" i="65037"/>
  <c r="FV121" i="65037"/>
  <c r="FV115" i="65037"/>
  <c r="FW86" i="65037"/>
  <c r="FR150" i="65037"/>
  <c r="FR184" i="65037"/>
  <c r="FS155" i="65037"/>
  <c r="FV165" i="65037"/>
  <c r="FR178" i="65037"/>
  <c r="FS149" i="65037"/>
  <c r="GA42" i="65037"/>
  <c r="FZ100" i="65037"/>
  <c r="EA40" i="65037"/>
  <c r="GH40" i="65037"/>
  <c r="GJ40" i="65037"/>
  <c r="GK40" i="65037" s="1"/>
  <c r="FS157" i="65037"/>
  <c r="FR186" i="65037"/>
  <c r="FV159" i="65037"/>
  <c r="GA89" i="65037"/>
  <c r="FZ118" i="65037"/>
  <c r="GE33" i="65037"/>
  <c r="GD91" i="65037"/>
  <c r="FV143" i="65037"/>
  <c r="GJ41" i="65037"/>
  <c r="GK41" i="65037" s="1"/>
  <c r="GH41" i="65037"/>
  <c r="EA41" i="65037"/>
  <c r="FV154" i="65037"/>
  <c r="GA28" i="65037"/>
  <c r="FZ86" i="65037"/>
  <c r="FV149" i="65037"/>
  <c r="FV148" i="65037"/>
  <c r="FV153" i="65037"/>
  <c r="FR192" i="65037"/>
  <c r="FS163" i="65037"/>
  <c r="FV141" i="65037"/>
  <c r="FZ117" i="65037"/>
  <c r="GA88" i="65037"/>
  <c r="FO158" i="65037"/>
  <c r="FN187" i="65037"/>
  <c r="FV145" i="65037"/>
  <c r="GD89" i="65037"/>
  <c r="GE31" i="65037"/>
  <c r="FV164" i="65037"/>
  <c r="GE39" i="65037"/>
  <c r="GD97" i="65037"/>
  <c r="EA26" i="65037"/>
  <c r="GJ26" i="65037"/>
  <c r="GK26" i="65037" s="1"/>
  <c r="GH26" i="65037"/>
  <c r="GA90" i="65037"/>
  <c r="FZ119" i="65037"/>
  <c r="GD95" i="65037"/>
  <c r="GE37" i="65037"/>
  <c r="FW103" i="65037"/>
  <c r="FV132" i="65037"/>
  <c r="GH27" i="65037"/>
  <c r="GJ27" i="65037"/>
  <c r="GK27" i="65037" s="1"/>
  <c r="EA27" i="65037"/>
  <c r="FZ125" i="65037"/>
  <c r="GA96" i="65037"/>
  <c r="AG71" i="65052" l="1"/>
  <c r="AH71" i="65052" s="1"/>
  <c r="L12" i="65037"/>
  <c r="AI71" i="65052"/>
  <c r="FR185" i="65037"/>
  <c r="FR191" i="65037"/>
  <c r="GA104" i="65037"/>
  <c r="FV151" i="65037"/>
  <c r="FV180" i="65037" s="1"/>
  <c r="B65" i="65052"/>
  <c r="AD64" i="65052"/>
  <c r="AE64" i="65052"/>
  <c r="AF64" i="65052"/>
  <c r="FZ154" i="65037"/>
  <c r="GH85" i="65037"/>
  <c r="GI27" i="65037"/>
  <c r="GD118" i="65037"/>
  <c r="GE89" i="65037"/>
  <c r="FV170" i="65037"/>
  <c r="FW141" i="65037"/>
  <c r="FV178" i="65037"/>
  <c r="FW149" i="65037"/>
  <c r="FV183" i="65037"/>
  <c r="FW154" i="65037"/>
  <c r="FZ147" i="65037"/>
  <c r="GL40" i="65037"/>
  <c r="GN40" i="65037"/>
  <c r="GO40" i="65037" s="1"/>
  <c r="EB40" i="65037"/>
  <c r="FV194" i="65037"/>
  <c r="FW165" i="65037"/>
  <c r="FZ164" i="65037"/>
  <c r="GN48" i="65037"/>
  <c r="GO48" i="65037" s="1"/>
  <c r="EB48" i="65037"/>
  <c r="GL48" i="65037"/>
  <c r="GH107" i="65037"/>
  <c r="GI49" i="65037"/>
  <c r="GJ34" i="65037"/>
  <c r="GK34" i="65037" s="1"/>
  <c r="EA34" i="65037"/>
  <c r="GH34" i="65037"/>
  <c r="EA36" i="65037"/>
  <c r="GH36" i="65037"/>
  <c r="GJ36" i="65037"/>
  <c r="GK36" i="65037" s="1"/>
  <c r="GD127" i="65037"/>
  <c r="GE98" i="65037"/>
  <c r="FZ157" i="65037"/>
  <c r="GH95" i="65037"/>
  <c r="GI37" i="65037"/>
  <c r="GH96" i="65037"/>
  <c r="GI38" i="65037"/>
  <c r="FW147" i="65037"/>
  <c r="FV176" i="65037"/>
  <c r="GI39" i="65037"/>
  <c r="GH97" i="65037"/>
  <c r="GH102" i="65037"/>
  <c r="GI44" i="65037"/>
  <c r="GE107" i="65037"/>
  <c r="GD136" i="65037"/>
  <c r="GN29" i="65037"/>
  <c r="GO29" i="65037" s="1"/>
  <c r="GL29" i="65037"/>
  <c r="EB29" i="65037"/>
  <c r="GH104" i="65037"/>
  <c r="GI46" i="65037"/>
  <c r="FV161" i="65037"/>
  <c r="GD124" i="65037"/>
  <c r="GE95" i="65037"/>
  <c r="FW164" i="65037"/>
  <c r="FV193" i="65037"/>
  <c r="FW153" i="65037"/>
  <c r="FV182" i="65037"/>
  <c r="FZ115" i="65037"/>
  <c r="GA86" i="65037"/>
  <c r="FW143" i="65037"/>
  <c r="FV172" i="65037"/>
  <c r="GH98" i="65037"/>
  <c r="GI40" i="65037"/>
  <c r="FZ129" i="65037"/>
  <c r="GA100" i="65037"/>
  <c r="FV144" i="65037"/>
  <c r="GE83" i="65037"/>
  <c r="GD112" i="65037"/>
  <c r="FZ153" i="65037"/>
  <c r="FS152" i="65037"/>
  <c r="FR181" i="65037"/>
  <c r="GN43" i="65037"/>
  <c r="GO43" i="65037" s="1"/>
  <c r="GL43" i="65037"/>
  <c r="EB43" i="65037"/>
  <c r="GJ28" i="65037"/>
  <c r="GK28" i="65037" s="1"/>
  <c r="EA28" i="65037"/>
  <c r="GH28" i="65037"/>
  <c r="EB49" i="65037"/>
  <c r="GN49" i="65037"/>
  <c r="GO49" i="65037" s="1"/>
  <c r="GL49" i="65037"/>
  <c r="FV186" i="65037"/>
  <c r="FW157" i="65037"/>
  <c r="GD133" i="65037"/>
  <c r="GE104" i="65037"/>
  <c r="GD100" i="65037"/>
  <c r="GE42" i="65037"/>
  <c r="FZ142" i="65037"/>
  <c r="FZ149" i="65037"/>
  <c r="FV191" i="65037"/>
  <c r="FW162" i="65037"/>
  <c r="DZ22" i="65037"/>
  <c r="GI31" i="65037"/>
  <c r="GH89" i="65037"/>
  <c r="FZ165" i="65037"/>
  <c r="FZ145" i="65037"/>
  <c r="FW155" i="65037"/>
  <c r="FV184" i="65037"/>
  <c r="FW146" i="65037"/>
  <c r="FV175" i="65037"/>
  <c r="FZ151" i="65037"/>
  <c r="GH91" i="65037"/>
  <c r="GI33" i="65037"/>
  <c r="GL47" i="65037"/>
  <c r="EB47" i="65037"/>
  <c r="GN47" i="65037"/>
  <c r="GO47" i="65037" s="1"/>
  <c r="GN30" i="65037"/>
  <c r="GO30" i="65037" s="1"/>
  <c r="EB30" i="65037"/>
  <c r="GL30" i="65037"/>
  <c r="FZ141" i="65037"/>
  <c r="FZ160" i="65037"/>
  <c r="GN44" i="65037"/>
  <c r="GO44" i="65037" s="1"/>
  <c r="EB44" i="65037"/>
  <c r="GL44" i="65037"/>
  <c r="GH93" i="65037"/>
  <c r="GI35" i="65037"/>
  <c r="FR190" i="65037"/>
  <c r="FS161" i="65037"/>
  <c r="FR173" i="65037"/>
  <c r="FS144" i="65037"/>
  <c r="GL46" i="65037"/>
  <c r="GN46" i="65037"/>
  <c r="GO46" i="65037" s="1"/>
  <c r="EB46" i="65037"/>
  <c r="FZ148" i="65037"/>
  <c r="GI26" i="65037"/>
  <c r="GH84" i="65037"/>
  <c r="FW145" i="65037"/>
  <c r="FV174" i="65037"/>
  <c r="FZ146" i="65037"/>
  <c r="FW148" i="65037"/>
  <c r="FV177" i="65037"/>
  <c r="GH99" i="65037"/>
  <c r="GI41" i="65037"/>
  <c r="GE91" i="65037"/>
  <c r="GD120" i="65037"/>
  <c r="FV150" i="65037"/>
  <c r="GE96" i="65037"/>
  <c r="GD125" i="65037"/>
  <c r="GD103" i="65037"/>
  <c r="GE45" i="65037"/>
  <c r="GI43" i="65037"/>
  <c r="GH101" i="65037"/>
  <c r="GD86" i="65037"/>
  <c r="GE28" i="65037"/>
  <c r="GE34" i="65037"/>
  <c r="GD92" i="65037"/>
  <c r="EA42" i="65037"/>
  <c r="GH42" i="65037"/>
  <c r="GJ42" i="65037"/>
  <c r="GK42" i="65037" s="1"/>
  <c r="FZ155" i="65037"/>
  <c r="FZ163" i="65037"/>
  <c r="GE85" i="65037"/>
  <c r="GD114" i="65037"/>
  <c r="GL37" i="65037"/>
  <c r="EB37" i="65037"/>
  <c r="GN37" i="65037"/>
  <c r="GO37" i="65037" s="1"/>
  <c r="GN38" i="65037"/>
  <c r="GO38" i="65037" s="1"/>
  <c r="GL38" i="65037"/>
  <c r="EB38" i="65037"/>
  <c r="FZ132" i="65037"/>
  <c r="GA103" i="65037"/>
  <c r="GD135" i="65037"/>
  <c r="GE106" i="65037"/>
  <c r="GA94" i="65037"/>
  <c r="FZ123" i="65037"/>
  <c r="GH105" i="65037"/>
  <c r="GI47" i="65037"/>
  <c r="GE90" i="65037"/>
  <c r="GD119" i="65037"/>
  <c r="GI25" i="65037"/>
  <c r="GH83" i="65037"/>
  <c r="EB39" i="65037"/>
  <c r="GL39" i="65037"/>
  <c r="GN39" i="65037"/>
  <c r="GO39" i="65037" s="1"/>
  <c r="FW142" i="65037"/>
  <c r="FV171" i="65037"/>
  <c r="GD130" i="65037"/>
  <c r="GE101" i="65037"/>
  <c r="GH87" i="65037"/>
  <c r="GI29" i="65037"/>
  <c r="FW163" i="65037"/>
  <c r="FV192" i="65037"/>
  <c r="GE105" i="65037"/>
  <c r="GD134" i="65037"/>
  <c r="GH90" i="65037"/>
  <c r="GI32" i="65037"/>
  <c r="FV152" i="65037"/>
  <c r="EB27" i="65037"/>
  <c r="GN27" i="65037"/>
  <c r="GO27" i="65037" s="1"/>
  <c r="GL27" i="65037"/>
  <c r="GL26" i="65037"/>
  <c r="GN26" i="65037"/>
  <c r="GO26" i="65037" s="1"/>
  <c r="EB26" i="65037"/>
  <c r="GD126" i="65037"/>
  <c r="GE97" i="65037"/>
  <c r="EB41" i="65037"/>
  <c r="GN41" i="65037"/>
  <c r="GO41" i="65037" s="1"/>
  <c r="GL41" i="65037"/>
  <c r="FV188" i="65037"/>
  <c r="FW159" i="65037"/>
  <c r="FR179" i="65037"/>
  <c r="FS150" i="65037"/>
  <c r="FW160" i="65037"/>
  <c r="FV189" i="65037"/>
  <c r="GH45" i="65037"/>
  <c r="GJ45" i="65037"/>
  <c r="GK45" i="65037" s="1"/>
  <c r="EA45" i="65037"/>
  <c r="GD131" i="65037"/>
  <c r="GE102" i="65037"/>
  <c r="GI48" i="65037"/>
  <c r="GH106" i="65037"/>
  <c r="GE93" i="65037"/>
  <c r="GD122" i="65037"/>
  <c r="GD94" i="65037"/>
  <c r="GE36" i="65037"/>
  <c r="GE87" i="65037"/>
  <c r="GD116" i="65037"/>
  <c r="FW156" i="65037"/>
  <c r="FV185" i="65037"/>
  <c r="FR187" i="65037"/>
  <c r="FS158" i="65037"/>
  <c r="EB31" i="65037"/>
  <c r="GL31" i="65037"/>
  <c r="GN31" i="65037"/>
  <c r="GO31" i="65037" s="1"/>
  <c r="FZ121" i="65037"/>
  <c r="GA92" i="65037"/>
  <c r="GE99" i="65037"/>
  <c r="GD128" i="65037"/>
  <c r="EB33" i="65037"/>
  <c r="GN33" i="65037"/>
  <c r="GO33" i="65037" s="1"/>
  <c r="GL33" i="65037"/>
  <c r="GI30" i="65037"/>
  <c r="GH88" i="65037"/>
  <c r="FZ143" i="65037"/>
  <c r="FZ162" i="65037"/>
  <c r="FZ159" i="65037"/>
  <c r="EB25" i="65037"/>
  <c r="GN25" i="65037"/>
  <c r="GO25" i="65037" s="1"/>
  <c r="GL25" i="65037"/>
  <c r="GD113" i="65037"/>
  <c r="GE84" i="65037"/>
  <c r="FV158" i="65037"/>
  <c r="EB35" i="65037"/>
  <c r="GN35" i="65037"/>
  <c r="GO35" i="65037" s="1"/>
  <c r="GL35" i="65037"/>
  <c r="FZ156" i="65037"/>
  <c r="GD117" i="65037"/>
  <c r="GE88" i="65037"/>
  <c r="EB32" i="65037"/>
  <c r="GL32" i="65037"/>
  <c r="GN32" i="65037"/>
  <c r="GO32" i="65037" s="1"/>
  <c r="AO71" i="65052" l="1"/>
  <c r="AP71" i="65052"/>
  <c r="FW151" i="65037"/>
  <c r="B66" i="65052"/>
  <c r="AD65" i="65052"/>
  <c r="AE65" i="65052"/>
  <c r="AF65" i="65052"/>
  <c r="FZ185" i="65037"/>
  <c r="GA156" i="65037"/>
  <c r="GD142" i="65037"/>
  <c r="GL83" i="65037"/>
  <c r="GM25" i="65037"/>
  <c r="FZ188" i="65037"/>
  <c r="GA159" i="65037"/>
  <c r="GA143" i="65037"/>
  <c r="FZ172" i="65037"/>
  <c r="GP33" i="65037"/>
  <c r="GR33" i="65037"/>
  <c r="GS33" i="65037" s="1"/>
  <c r="EC33" i="65037"/>
  <c r="GM31" i="65037"/>
  <c r="GL89" i="65037"/>
  <c r="GE94" i="65037"/>
  <c r="GD123" i="65037"/>
  <c r="GD151" i="65037"/>
  <c r="GN45" i="65037"/>
  <c r="GO45" i="65037" s="1"/>
  <c r="EB45" i="65037"/>
  <c r="GL45" i="65037"/>
  <c r="GD155" i="65037"/>
  <c r="GM27" i="65037"/>
  <c r="GL85" i="65037"/>
  <c r="FV181" i="65037"/>
  <c r="FW152" i="65037"/>
  <c r="GD163" i="65037"/>
  <c r="GI83" i="65037"/>
  <c r="GH112" i="65037"/>
  <c r="GL96" i="65037"/>
  <c r="GM38" i="65037"/>
  <c r="GP37" i="65037"/>
  <c r="GR37" i="65037"/>
  <c r="GS37" i="65037" s="1"/>
  <c r="EC37" i="65037"/>
  <c r="GA155" i="65037"/>
  <c r="FZ184" i="65037"/>
  <c r="GE103" i="65037"/>
  <c r="GD132" i="65037"/>
  <c r="GH113" i="65037"/>
  <c r="GI84" i="65037"/>
  <c r="GM46" i="65037"/>
  <c r="GL104" i="65037"/>
  <c r="GI93" i="65037"/>
  <c r="GH122" i="65037"/>
  <c r="GH118" i="65037"/>
  <c r="GI89" i="65037"/>
  <c r="GM49" i="65037"/>
  <c r="GL107" i="65037"/>
  <c r="GP43" i="65037"/>
  <c r="EC43" i="65037"/>
  <c r="GR43" i="65037"/>
  <c r="GS43" i="65037" s="1"/>
  <c r="GD141" i="65037"/>
  <c r="FZ144" i="65037"/>
  <c r="EC29" i="65037"/>
  <c r="GR29" i="65037"/>
  <c r="GS29" i="65037" s="1"/>
  <c r="GP29" i="65037"/>
  <c r="EC48" i="65037"/>
  <c r="GR48" i="65037"/>
  <c r="GS48" i="65037" s="1"/>
  <c r="GP48" i="65037"/>
  <c r="GA147" i="65037"/>
  <c r="FZ176" i="65037"/>
  <c r="EC32" i="65037"/>
  <c r="GR32" i="65037"/>
  <c r="GS32" i="65037" s="1"/>
  <c r="GP32" i="65037"/>
  <c r="GD146" i="65037"/>
  <c r="GM35" i="65037"/>
  <c r="GL93" i="65037"/>
  <c r="FW158" i="65037"/>
  <c r="FV187" i="65037"/>
  <c r="GR25" i="65037"/>
  <c r="GS25" i="65037" s="1"/>
  <c r="GP25" i="65037"/>
  <c r="EC25" i="65037"/>
  <c r="GH117" i="65037"/>
  <c r="GI88" i="65037"/>
  <c r="GD145" i="65037"/>
  <c r="GI45" i="65037"/>
  <c r="GH103" i="65037"/>
  <c r="GM41" i="65037"/>
  <c r="GL99" i="65037"/>
  <c r="GR27" i="65037"/>
  <c r="GS27" i="65037" s="1"/>
  <c r="EC27" i="65037"/>
  <c r="GP27" i="65037"/>
  <c r="GI87" i="65037"/>
  <c r="GH116" i="65037"/>
  <c r="EC39" i="65037"/>
  <c r="GP39" i="65037"/>
  <c r="GR39" i="65037"/>
  <c r="GS39" i="65037" s="1"/>
  <c r="GP38" i="65037"/>
  <c r="GR38" i="65037"/>
  <c r="GS38" i="65037" s="1"/>
  <c r="EC38" i="65037"/>
  <c r="EB42" i="65037"/>
  <c r="GL42" i="65037"/>
  <c r="GN42" i="65037"/>
  <c r="GO42" i="65037" s="1"/>
  <c r="GD115" i="65037"/>
  <c r="GE86" i="65037"/>
  <c r="GD154" i="65037"/>
  <c r="FW150" i="65037"/>
  <c r="FV179" i="65037"/>
  <c r="GI99" i="65037"/>
  <c r="GH128" i="65037"/>
  <c r="FZ175" i="65037"/>
  <c r="GA146" i="65037"/>
  <c r="GL102" i="65037"/>
  <c r="GM44" i="65037"/>
  <c r="GP30" i="65037"/>
  <c r="EC30" i="65037"/>
  <c r="GR30" i="65037"/>
  <c r="GS30" i="65037" s="1"/>
  <c r="EC47" i="65037"/>
  <c r="GR47" i="65037"/>
  <c r="GS47" i="65037" s="1"/>
  <c r="GP47" i="65037"/>
  <c r="GI91" i="65037"/>
  <c r="GH120" i="65037"/>
  <c r="GA142" i="65037"/>
  <c r="FZ171" i="65037"/>
  <c r="GD162" i="65037"/>
  <c r="GP49" i="65037"/>
  <c r="EC49" i="65037"/>
  <c r="GR49" i="65037"/>
  <c r="GS49" i="65037" s="1"/>
  <c r="GL28" i="65037"/>
  <c r="GN28" i="65037"/>
  <c r="GO28" i="65037" s="1"/>
  <c r="EB28" i="65037"/>
  <c r="FZ158" i="65037"/>
  <c r="FV190" i="65037"/>
  <c r="FW161" i="65037"/>
  <c r="GI104" i="65037"/>
  <c r="GH133" i="65037"/>
  <c r="GI102" i="65037"/>
  <c r="GH131" i="65037"/>
  <c r="GH124" i="65037"/>
  <c r="GI95" i="65037"/>
  <c r="GD156" i="65037"/>
  <c r="GH92" i="65037"/>
  <c r="GI34" i="65037"/>
  <c r="GI107" i="65037"/>
  <c r="GH136" i="65037"/>
  <c r="GH114" i="65037"/>
  <c r="GI85" i="65037"/>
  <c r="GL90" i="65037"/>
  <c r="GM32" i="65037"/>
  <c r="EC35" i="65037"/>
  <c r="GR35" i="65037"/>
  <c r="GS35" i="65037" s="1"/>
  <c r="GP35" i="65037"/>
  <c r="FZ191" i="65037"/>
  <c r="GA162" i="65037"/>
  <c r="GD157" i="65037"/>
  <c r="FZ150" i="65037"/>
  <c r="GH135" i="65037"/>
  <c r="GI106" i="65037"/>
  <c r="GD160" i="65037"/>
  <c r="EC41" i="65037"/>
  <c r="GP41" i="65037"/>
  <c r="GR41" i="65037"/>
  <c r="GS41" i="65037" s="1"/>
  <c r="EC26" i="65037"/>
  <c r="GP26" i="65037"/>
  <c r="GR26" i="65037"/>
  <c r="GS26" i="65037" s="1"/>
  <c r="GL97" i="65037"/>
  <c r="GM39" i="65037"/>
  <c r="GD148" i="65037"/>
  <c r="GI105" i="65037"/>
  <c r="GH134" i="65037"/>
  <c r="GD164" i="65037"/>
  <c r="FZ161" i="65037"/>
  <c r="GL95" i="65037"/>
  <c r="GM37" i="65037"/>
  <c r="FZ192" i="65037"/>
  <c r="GA163" i="65037"/>
  <c r="GH100" i="65037"/>
  <c r="GI42" i="65037"/>
  <c r="GD121" i="65037"/>
  <c r="GE92" i="65037"/>
  <c r="GI101" i="65037"/>
  <c r="GH130" i="65037"/>
  <c r="GA148" i="65037"/>
  <c r="FZ177" i="65037"/>
  <c r="GA160" i="65037"/>
  <c r="FZ189" i="65037"/>
  <c r="FZ170" i="65037"/>
  <c r="GA141" i="65037"/>
  <c r="GA145" i="65037"/>
  <c r="FZ174" i="65037"/>
  <c r="GA165" i="65037"/>
  <c r="FZ194" i="65037"/>
  <c r="GA153" i="65037"/>
  <c r="FZ182" i="65037"/>
  <c r="GD165" i="65037"/>
  <c r="GH126" i="65037"/>
  <c r="GI97" i="65037"/>
  <c r="EB36" i="65037"/>
  <c r="GN36" i="65037"/>
  <c r="GO36" i="65037" s="1"/>
  <c r="GL36" i="65037"/>
  <c r="GM48" i="65037"/>
  <c r="GL106" i="65037"/>
  <c r="EC40" i="65037"/>
  <c r="GR40" i="65037"/>
  <c r="GS40" i="65037" s="1"/>
  <c r="GP40" i="65037"/>
  <c r="GM33" i="65037"/>
  <c r="GL91" i="65037"/>
  <c r="GR31" i="65037"/>
  <c r="GS31" i="65037" s="1"/>
  <c r="EC31" i="65037"/>
  <c r="GP31" i="65037"/>
  <c r="GM26" i="65037"/>
  <c r="GL84" i="65037"/>
  <c r="GH119" i="65037"/>
  <c r="GI90" i="65037"/>
  <c r="GD159" i="65037"/>
  <c r="FZ152" i="65037"/>
  <c r="GD143" i="65037"/>
  <c r="GD149" i="65037"/>
  <c r="GP46" i="65037"/>
  <c r="GR46" i="65037"/>
  <c r="GS46" i="65037" s="1"/>
  <c r="EC46" i="65037"/>
  <c r="GP44" i="65037"/>
  <c r="GR44" i="65037"/>
  <c r="GS44" i="65037" s="1"/>
  <c r="EC44" i="65037"/>
  <c r="EA22" i="65037"/>
  <c r="GL88" i="65037"/>
  <c r="GM30" i="65037"/>
  <c r="GL105" i="65037"/>
  <c r="GM47" i="65037"/>
  <c r="GA151" i="65037"/>
  <c r="FZ180" i="65037"/>
  <c r="FZ178" i="65037"/>
  <c r="GA149" i="65037"/>
  <c r="GD129" i="65037"/>
  <c r="GE100" i="65037"/>
  <c r="GH86" i="65037"/>
  <c r="GI28" i="65037"/>
  <c r="GM43" i="65037"/>
  <c r="GL101" i="65037"/>
  <c r="FV173" i="65037"/>
  <c r="FW144" i="65037"/>
  <c r="GH127" i="65037"/>
  <c r="GI98" i="65037"/>
  <c r="GD153" i="65037"/>
  <c r="GM29" i="65037"/>
  <c r="GL87" i="65037"/>
  <c r="GH125" i="65037"/>
  <c r="GI96" i="65037"/>
  <c r="GA157" i="65037"/>
  <c r="FZ186" i="65037"/>
  <c r="GH94" i="65037"/>
  <c r="GI36" i="65037"/>
  <c r="EB34" i="65037"/>
  <c r="GL34" i="65037"/>
  <c r="GN34" i="65037"/>
  <c r="GO34" i="65037" s="1"/>
  <c r="FZ193" i="65037"/>
  <c r="GA164" i="65037"/>
  <c r="GM40" i="65037"/>
  <c r="GL98" i="65037"/>
  <c r="GD147" i="65037"/>
  <c r="FZ183" i="65037"/>
  <c r="GA154" i="65037"/>
  <c r="B67" i="65052" l="1"/>
  <c r="AE66" i="65052"/>
  <c r="AD66" i="65052"/>
  <c r="AF66" i="65052"/>
  <c r="EB22" i="65037"/>
  <c r="GE147" i="65037"/>
  <c r="GD176" i="65037"/>
  <c r="GM34" i="65037"/>
  <c r="GL92" i="65037"/>
  <c r="GH156" i="65037"/>
  <c r="GM88" i="65037"/>
  <c r="GL117" i="65037"/>
  <c r="GD188" i="65037"/>
  <c r="GE159" i="65037"/>
  <c r="GQ31" i="65037"/>
  <c r="GP89" i="65037"/>
  <c r="GT40" i="65037"/>
  <c r="ED40" i="65037"/>
  <c r="GV40" i="65037"/>
  <c r="GW40" i="65037" s="1"/>
  <c r="GL135" i="65037"/>
  <c r="GM106" i="65037"/>
  <c r="GD194" i="65037"/>
  <c r="GE165" i="65037"/>
  <c r="GE148" i="65037"/>
  <c r="GD177" i="65037"/>
  <c r="GH164" i="65037"/>
  <c r="GH121" i="65037"/>
  <c r="GI92" i="65037"/>
  <c r="GH153" i="65037"/>
  <c r="GH162" i="65037"/>
  <c r="GV49" i="65037"/>
  <c r="GW49" i="65037" s="1"/>
  <c r="GT49" i="65037"/>
  <c r="ED49" i="65037"/>
  <c r="GH149" i="65037"/>
  <c r="GD144" i="65037"/>
  <c r="GR42" i="65037"/>
  <c r="GS42" i="65037" s="1"/>
  <c r="EC42" i="65037"/>
  <c r="GP42" i="65037"/>
  <c r="ED39" i="65037"/>
  <c r="GT39" i="65037"/>
  <c r="GV39" i="65037"/>
  <c r="GW39" i="65037" s="1"/>
  <c r="GD174" i="65037"/>
  <c r="GE145" i="65037"/>
  <c r="GH146" i="65037"/>
  <c r="GQ29" i="65037"/>
  <c r="GP87" i="65037"/>
  <c r="GA144" i="65037"/>
  <c r="FZ173" i="65037"/>
  <c r="GL136" i="65037"/>
  <c r="GM107" i="65037"/>
  <c r="GQ37" i="65037"/>
  <c r="GP95" i="65037"/>
  <c r="GE155" i="65037"/>
  <c r="GD184" i="65037"/>
  <c r="GM89" i="65037"/>
  <c r="GL118" i="65037"/>
  <c r="GQ33" i="65037"/>
  <c r="GP91" i="65037"/>
  <c r="GE142" i="65037"/>
  <c r="GD171" i="65037"/>
  <c r="GD182" i="65037"/>
  <c r="GE153" i="65037"/>
  <c r="GH115" i="65037"/>
  <c r="GI86" i="65037"/>
  <c r="ED44" i="65037"/>
  <c r="GV44" i="65037"/>
  <c r="GW44" i="65037" s="1"/>
  <c r="GT44" i="65037"/>
  <c r="GL113" i="65037"/>
  <c r="GM84" i="65037"/>
  <c r="GL94" i="65037"/>
  <c r="GM36" i="65037"/>
  <c r="GH163" i="65037"/>
  <c r="GT41" i="65037"/>
  <c r="GV41" i="65037"/>
  <c r="GW41" i="65037" s="1"/>
  <c r="ED41" i="65037"/>
  <c r="GA150" i="65037"/>
  <c r="FZ179" i="65037"/>
  <c r="GP93" i="65037"/>
  <c r="GQ35" i="65037"/>
  <c r="GM90" i="65037"/>
  <c r="GL119" i="65037"/>
  <c r="GH143" i="65037"/>
  <c r="GH165" i="65037"/>
  <c r="GH160" i="65037"/>
  <c r="GD191" i="65037"/>
  <c r="GE162" i="65037"/>
  <c r="GV30" i="65037"/>
  <c r="GW30" i="65037" s="1"/>
  <c r="ED30" i="65037"/>
  <c r="GT30" i="65037"/>
  <c r="GH157" i="65037"/>
  <c r="GL100" i="65037"/>
  <c r="GM42" i="65037"/>
  <c r="GQ39" i="65037"/>
  <c r="GP97" i="65037"/>
  <c r="GH145" i="65037"/>
  <c r="GT27" i="65037"/>
  <c r="GV27" i="65037"/>
  <c r="GW27" i="65037" s="1"/>
  <c r="ED27" i="65037"/>
  <c r="GM93" i="65037"/>
  <c r="GL122" i="65037"/>
  <c r="GD175" i="65037"/>
  <c r="GE146" i="65037"/>
  <c r="GQ48" i="65037"/>
  <c r="GP106" i="65037"/>
  <c r="ED29" i="65037"/>
  <c r="GV29" i="65037"/>
  <c r="GW29" i="65037" s="1"/>
  <c r="GT29" i="65037"/>
  <c r="GV43" i="65037"/>
  <c r="GW43" i="65037" s="1"/>
  <c r="GT43" i="65037"/>
  <c r="ED43" i="65037"/>
  <c r="GH151" i="65037"/>
  <c r="GM85" i="65037"/>
  <c r="GL114" i="65037"/>
  <c r="GM45" i="65037"/>
  <c r="GL103" i="65037"/>
  <c r="GD180" i="65037"/>
  <c r="GE151" i="65037"/>
  <c r="GL116" i="65037"/>
  <c r="GM87" i="65037"/>
  <c r="GM101" i="65037"/>
  <c r="GL130" i="65037"/>
  <c r="GD158" i="65037"/>
  <c r="GP102" i="65037"/>
  <c r="GQ44" i="65037"/>
  <c r="ED46" i="65037"/>
  <c r="GV46" i="65037"/>
  <c r="GW46" i="65037" s="1"/>
  <c r="GT46" i="65037"/>
  <c r="ED31" i="65037"/>
  <c r="GV31" i="65037"/>
  <c r="GW31" i="65037" s="1"/>
  <c r="GT31" i="65037"/>
  <c r="GP36" i="65037"/>
  <c r="EC36" i="65037"/>
  <c r="GR36" i="65037"/>
  <c r="GS36" i="65037" s="1"/>
  <c r="GD150" i="65037"/>
  <c r="GI100" i="65037"/>
  <c r="GH129" i="65037"/>
  <c r="GM95" i="65037"/>
  <c r="GL124" i="65037"/>
  <c r="FZ190" i="65037"/>
  <c r="GA161" i="65037"/>
  <c r="GV26" i="65037"/>
  <c r="GW26" i="65037" s="1"/>
  <c r="GT26" i="65037"/>
  <c r="ED26" i="65037"/>
  <c r="GP99" i="65037"/>
  <c r="GQ41" i="65037"/>
  <c r="GD189" i="65037"/>
  <c r="GE160" i="65037"/>
  <c r="GT35" i="65037"/>
  <c r="GV35" i="65037"/>
  <c r="GW35" i="65037" s="1"/>
  <c r="ED35" i="65037"/>
  <c r="GD185" i="65037"/>
  <c r="GE156" i="65037"/>
  <c r="FZ187" i="65037"/>
  <c r="GA158" i="65037"/>
  <c r="EC28" i="65037"/>
  <c r="GR28" i="65037"/>
  <c r="GS28" i="65037" s="1"/>
  <c r="GP28" i="65037"/>
  <c r="GQ49" i="65037"/>
  <c r="GP107" i="65037"/>
  <c r="GP105" i="65037"/>
  <c r="GQ47" i="65037"/>
  <c r="GM102" i="65037"/>
  <c r="GL131" i="65037"/>
  <c r="GD183" i="65037"/>
  <c r="GE154" i="65037"/>
  <c r="GT38" i="65037"/>
  <c r="GV38" i="65037"/>
  <c r="GW38" i="65037" s="1"/>
  <c r="ED38" i="65037"/>
  <c r="GI103" i="65037"/>
  <c r="GH132" i="65037"/>
  <c r="GQ25" i="65037"/>
  <c r="GP83" i="65037"/>
  <c r="GQ32" i="65037"/>
  <c r="GP90" i="65037"/>
  <c r="ED48" i="65037"/>
  <c r="GV48" i="65037"/>
  <c r="GW48" i="65037" s="1"/>
  <c r="GT48" i="65037"/>
  <c r="GD170" i="65037"/>
  <c r="GE141" i="65037"/>
  <c r="GH142" i="65037"/>
  <c r="GD161" i="65037"/>
  <c r="GM96" i="65037"/>
  <c r="GL125" i="65037"/>
  <c r="GE163" i="65037"/>
  <c r="GD192" i="65037"/>
  <c r="GD152" i="65037"/>
  <c r="GM83" i="65037"/>
  <c r="GL112" i="65037"/>
  <c r="GM98" i="65037"/>
  <c r="GL127" i="65037"/>
  <c r="EC34" i="65037"/>
  <c r="GP34" i="65037"/>
  <c r="GR34" i="65037"/>
  <c r="GS34" i="65037" s="1"/>
  <c r="GI94" i="65037"/>
  <c r="GH123" i="65037"/>
  <c r="GH154" i="65037"/>
  <c r="GM105" i="65037"/>
  <c r="GL134" i="65037"/>
  <c r="GQ46" i="65037"/>
  <c r="GP104" i="65037"/>
  <c r="GE149" i="65037"/>
  <c r="GD178" i="65037"/>
  <c r="GD172" i="65037"/>
  <c r="GE143" i="65037"/>
  <c r="GA152" i="65037"/>
  <c r="FZ181" i="65037"/>
  <c r="GH148" i="65037"/>
  <c r="GM91" i="65037"/>
  <c r="GL120" i="65037"/>
  <c r="GP98" i="65037"/>
  <c r="GQ40" i="65037"/>
  <c r="GH155" i="65037"/>
  <c r="GH159" i="65037"/>
  <c r="GE164" i="65037"/>
  <c r="GD193" i="65037"/>
  <c r="GL126" i="65037"/>
  <c r="GM97" i="65037"/>
  <c r="GP84" i="65037"/>
  <c r="GQ26" i="65037"/>
  <c r="GD186" i="65037"/>
  <c r="GE157" i="65037"/>
  <c r="GM28" i="65037"/>
  <c r="GL86" i="65037"/>
  <c r="GT47" i="65037"/>
  <c r="ED47" i="65037"/>
  <c r="GV47" i="65037"/>
  <c r="GW47" i="65037" s="1"/>
  <c r="GQ30" i="65037"/>
  <c r="GP88" i="65037"/>
  <c r="GP96" i="65037"/>
  <c r="GQ38" i="65037"/>
  <c r="GP85" i="65037"/>
  <c r="GQ27" i="65037"/>
  <c r="GM99" i="65037"/>
  <c r="GL128" i="65037"/>
  <c r="ED25" i="65037"/>
  <c r="GV25" i="65037"/>
  <c r="GW25" i="65037" s="1"/>
  <c r="GT25" i="65037"/>
  <c r="ED32" i="65037"/>
  <c r="GV32" i="65037"/>
  <c r="GW32" i="65037" s="1"/>
  <c r="GT32" i="65037"/>
  <c r="GP101" i="65037"/>
  <c r="GQ43" i="65037"/>
  <c r="GH147" i="65037"/>
  <c r="GL133" i="65037"/>
  <c r="GM104" i="65037"/>
  <c r="ED37" i="65037"/>
  <c r="GT37" i="65037"/>
  <c r="GV37" i="65037"/>
  <c r="GW37" i="65037" s="1"/>
  <c r="GH141" i="65037"/>
  <c r="EC45" i="65037"/>
  <c r="GR45" i="65037"/>
  <c r="GS45" i="65037" s="1"/>
  <c r="GP45" i="65037"/>
  <c r="GV33" i="65037"/>
  <c r="GW33" i="65037" s="1"/>
  <c r="GT33" i="65037"/>
  <c r="ED33" i="65037"/>
  <c r="AF67" i="65052" l="1"/>
  <c r="AD67" i="65052"/>
  <c r="AE67" i="65052"/>
  <c r="GU25" i="65037"/>
  <c r="GT83" i="65037"/>
  <c r="GP114" i="65037"/>
  <c r="GQ85" i="65037"/>
  <c r="GP133" i="65037"/>
  <c r="GQ104" i="65037"/>
  <c r="GX26" i="65037"/>
  <c r="EE26" i="65037"/>
  <c r="GZ26" i="65037"/>
  <c r="HA26" i="65037" s="1"/>
  <c r="GX31" i="65037"/>
  <c r="GZ31" i="65037"/>
  <c r="HA31" i="65037" s="1"/>
  <c r="EE31" i="65037"/>
  <c r="GD187" i="65037"/>
  <c r="GE158" i="65037"/>
  <c r="GH180" i="65037"/>
  <c r="GI151" i="65037"/>
  <c r="GT87" i="65037"/>
  <c r="GU29" i="65037"/>
  <c r="GQ106" i="65037"/>
  <c r="GP135" i="65037"/>
  <c r="GT85" i="65037"/>
  <c r="GU27" i="65037"/>
  <c r="GI160" i="65037"/>
  <c r="GH189" i="65037"/>
  <c r="GI143" i="65037"/>
  <c r="GH172" i="65037"/>
  <c r="GP122" i="65037"/>
  <c r="GQ93" i="65037"/>
  <c r="GX44" i="65037"/>
  <c r="EE44" i="65037"/>
  <c r="GZ44" i="65037"/>
  <c r="HA44" i="65037" s="1"/>
  <c r="GQ42" i="65037"/>
  <c r="GP100" i="65037"/>
  <c r="GE144" i="65037"/>
  <c r="GD173" i="65037"/>
  <c r="GI164" i="65037"/>
  <c r="GH193" i="65037"/>
  <c r="EE33" i="65037"/>
  <c r="GX33" i="65037"/>
  <c r="GZ33" i="65037"/>
  <c r="HA33" i="65037" s="1"/>
  <c r="GL162" i="65037"/>
  <c r="GX32" i="65037"/>
  <c r="GZ32" i="65037"/>
  <c r="HA32" i="65037" s="1"/>
  <c r="EE32" i="65037"/>
  <c r="GL157" i="65037"/>
  <c r="GT105" i="65037"/>
  <c r="GU47" i="65037"/>
  <c r="GU48" i="65037"/>
  <c r="GT106" i="65037"/>
  <c r="ED28" i="65037"/>
  <c r="GV28" i="65037"/>
  <c r="GW28" i="65037" s="1"/>
  <c r="GT28" i="65037"/>
  <c r="GU35" i="65037"/>
  <c r="GT93" i="65037"/>
  <c r="GD179" i="65037"/>
  <c r="GE150" i="65037"/>
  <c r="GX29" i="65037"/>
  <c r="GZ29" i="65037"/>
  <c r="HA29" i="65037" s="1"/>
  <c r="EE29" i="65037"/>
  <c r="GL151" i="65037"/>
  <c r="GT99" i="65037"/>
  <c r="GU41" i="65037"/>
  <c r="GH178" i="65037"/>
  <c r="GI149" i="65037"/>
  <c r="GU49" i="65037"/>
  <c r="GT107" i="65037"/>
  <c r="GI153" i="65037"/>
  <c r="GH182" i="65037"/>
  <c r="EE40" i="65037"/>
  <c r="GZ40" i="65037"/>
  <c r="HA40" i="65037" s="1"/>
  <c r="GX40" i="65037"/>
  <c r="GL121" i="65037"/>
  <c r="GM92" i="65037"/>
  <c r="GQ45" i="65037"/>
  <c r="GP103" i="65037"/>
  <c r="GI141" i="65037"/>
  <c r="GH170" i="65037"/>
  <c r="GP130" i="65037"/>
  <c r="GQ101" i="65037"/>
  <c r="GQ96" i="65037"/>
  <c r="GP125" i="65037"/>
  <c r="GL115" i="65037"/>
  <c r="GM86" i="65037"/>
  <c r="GP113" i="65037"/>
  <c r="GQ84" i="65037"/>
  <c r="GI155" i="65037"/>
  <c r="GH184" i="65037"/>
  <c r="GP127" i="65037"/>
  <c r="GQ98" i="65037"/>
  <c r="GL163" i="65037"/>
  <c r="GH183" i="65037"/>
  <c r="GI154" i="65037"/>
  <c r="GT34" i="65037"/>
  <c r="GV34" i="65037"/>
  <c r="GW34" i="65037" s="1"/>
  <c r="ED34" i="65037"/>
  <c r="GL156" i="65037"/>
  <c r="GL141" i="65037"/>
  <c r="GH171" i="65037"/>
  <c r="GI142" i="65037"/>
  <c r="GZ48" i="65037"/>
  <c r="HA48" i="65037" s="1"/>
  <c r="GX48" i="65037"/>
  <c r="EE48" i="65037"/>
  <c r="GP112" i="65037"/>
  <c r="GQ83" i="65037"/>
  <c r="GP136" i="65037"/>
  <c r="GQ107" i="65037"/>
  <c r="GH158" i="65037"/>
  <c r="GL145" i="65037"/>
  <c r="GT101" i="65037"/>
  <c r="GU43" i="65037"/>
  <c r="EC22" i="65037"/>
  <c r="GH174" i="65037"/>
  <c r="GI145" i="65037"/>
  <c r="GM100" i="65037"/>
  <c r="GL129" i="65037"/>
  <c r="GI157" i="65037"/>
  <c r="GH186" i="65037"/>
  <c r="GH194" i="65037"/>
  <c r="GI165" i="65037"/>
  <c r="GH144" i="65037"/>
  <c r="GL147" i="65037"/>
  <c r="GQ95" i="65037"/>
  <c r="GP124" i="65037"/>
  <c r="GQ87" i="65037"/>
  <c r="GP116" i="65037"/>
  <c r="GZ39" i="65037"/>
  <c r="HA39" i="65037" s="1"/>
  <c r="GX39" i="65037"/>
  <c r="EE39" i="65037"/>
  <c r="ED42" i="65037"/>
  <c r="GV42" i="65037"/>
  <c r="GW42" i="65037" s="1"/>
  <c r="GT42" i="65037"/>
  <c r="GZ49" i="65037"/>
  <c r="HA49" i="65037" s="1"/>
  <c r="EE49" i="65037"/>
  <c r="GX49" i="65037"/>
  <c r="GT91" i="65037"/>
  <c r="GU33" i="65037"/>
  <c r="GU37" i="65037"/>
  <c r="GT95" i="65037"/>
  <c r="GH176" i="65037"/>
  <c r="GI147" i="65037"/>
  <c r="GU32" i="65037"/>
  <c r="GT90" i="65037"/>
  <c r="GL155" i="65037"/>
  <c r="GH188" i="65037"/>
  <c r="GI159" i="65037"/>
  <c r="GL149" i="65037"/>
  <c r="GH152" i="65037"/>
  <c r="GE161" i="65037"/>
  <c r="GD190" i="65037"/>
  <c r="EE38" i="65037"/>
  <c r="GZ38" i="65037"/>
  <c r="HA38" i="65037" s="1"/>
  <c r="GX38" i="65037"/>
  <c r="GP86" i="65037"/>
  <c r="GQ28" i="65037"/>
  <c r="EE35" i="65037"/>
  <c r="GX35" i="65037"/>
  <c r="GZ35" i="65037"/>
  <c r="HA35" i="65037" s="1"/>
  <c r="GL153" i="65037"/>
  <c r="EE46" i="65037"/>
  <c r="GX46" i="65037"/>
  <c r="GZ46" i="65037"/>
  <c r="HA46" i="65037" s="1"/>
  <c r="GX41" i="65037"/>
  <c r="EE41" i="65037"/>
  <c r="GZ41" i="65037"/>
  <c r="HA41" i="65037" s="1"/>
  <c r="GM94" i="65037"/>
  <c r="GL123" i="65037"/>
  <c r="GP120" i="65037"/>
  <c r="GQ91" i="65037"/>
  <c r="GH175" i="65037"/>
  <c r="GI146" i="65037"/>
  <c r="GL164" i="65037"/>
  <c r="GP118" i="65037"/>
  <c r="GQ89" i="65037"/>
  <c r="GX25" i="65037"/>
  <c r="GZ25" i="65037"/>
  <c r="HA25" i="65037" s="1"/>
  <c r="EE25" i="65037"/>
  <c r="GP117" i="65037"/>
  <c r="GQ88" i="65037"/>
  <c r="GH161" i="65037"/>
  <c r="GU38" i="65037"/>
  <c r="GT96" i="65037"/>
  <c r="GP134" i="65037"/>
  <c r="GQ105" i="65037"/>
  <c r="GQ99" i="65037"/>
  <c r="GP128" i="65037"/>
  <c r="GV36" i="65037"/>
  <c r="GW36" i="65037" s="1"/>
  <c r="GT36" i="65037"/>
  <c r="ED36" i="65037"/>
  <c r="GL132" i="65037"/>
  <c r="GM103" i="65037"/>
  <c r="GU30" i="65037"/>
  <c r="GT88" i="65037"/>
  <c r="GL148" i="65037"/>
  <c r="GL165" i="65037"/>
  <c r="ED45" i="65037"/>
  <c r="GV45" i="65037"/>
  <c r="GW45" i="65037" s="1"/>
  <c r="GT45" i="65037"/>
  <c r="EE37" i="65037"/>
  <c r="GZ37" i="65037"/>
  <c r="HA37" i="65037" s="1"/>
  <c r="GX37" i="65037"/>
  <c r="EE47" i="65037"/>
  <c r="GZ47" i="65037"/>
  <c r="HA47" i="65037" s="1"/>
  <c r="GX47" i="65037"/>
  <c r="GI148" i="65037"/>
  <c r="GH177" i="65037"/>
  <c r="GQ34" i="65037"/>
  <c r="GP92" i="65037"/>
  <c r="GD181" i="65037"/>
  <c r="GE152" i="65037"/>
  <c r="GL154" i="65037"/>
  <c r="GP119" i="65037"/>
  <c r="GQ90" i="65037"/>
  <c r="GL160" i="65037"/>
  <c r="GU26" i="65037"/>
  <c r="GT84" i="65037"/>
  <c r="GQ36" i="65037"/>
  <c r="GP94" i="65037"/>
  <c r="GT89" i="65037"/>
  <c r="GU31" i="65037"/>
  <c r="GT104" i="65037"/>
  <c r="GU46" i="65037"/>
  <c r="GP131" i="65037"/>
  <c r="GQ102" i="65037"/>
  <c r="GL159" i="65037"/>
  <c r="GL143" i="65037"/>
  <c r="GX43" i="65037"/>
  <c r="EE43" i="65037"/>
  <c r="GZ43" i="65037"/>
  <c r="HA43" i="65037" s="1"/>
  <c r="EE27" i="65037"/>
  <c r="GZ27" i="65037"/>
  <c r="HA27" i="65037" s="1"/>
  <c r="GX27" i="65037"/>
  <c r="GQ97" i="65037"/>
  <c r="GP126" i="65037"/>
  <c r="EE30" i="65037"/>
  <c r="GZ30" i="65037"/>
  <c r="HA30" i="65037" s="1"/>
  <c r="GX30" i="65037"/>
  <c r="GH192" i="65037"/>
  <c r="GI163" i="65037"/>
  <c r="GL142" i="65037"/>
  <c r="GU44" i="65037"/>
  <c r="GT102" i="65037"/>
  <c r="GU39" i="65037"/>
  <c r="GT97" i="65037"/>
  <c r="GH191" i="65037"/>
  <c r="GI162" i="65037"/>
  <c r="GH150" i="65037"/>
  <c r="GU40" i="65037"/>
  <c r="GT98" i="65037"/>
  <c r="GL146" i="65037"/>
  <c r="GH185" i="65037"/>
  <c r="GI156" i="65037"/>
  <c r="ED22" i="65037" l="1"/>
  <c r="GH179" i="65037"/>
  <c r="GI150" i="65037"/>
  <c r="HD47" i="65037"/>
  <c r="HE47" i="65037" s="1"/>
  <c r="HB47" i="65037"/>
  <c r="EF47" i="65037"/>
  <c r="GY37" i="65037"/>
  <c r="GX95" i="65037"/>
  <c r="GP163" i="65037"/>
  <c r="GH190" i="65037"/>
  <c r="GI161" i="65037"/>
  <c r="EF25" i="65037"/>
  <c r="HD25" i="65037"/>
  <c r="HE25" i="65037" s="1"/>
  <c r="HB25" i="65037"/>
  <c r="GP149" i="65037"/>
  <c r="GX96" i="65037"/>
  <c r="GY38" i="65037"/>
  <c r="GL184" i="65037"/>
  <c r="GM155" i="65037"/>
  <c r="GX34" i="65037"/>
  <c r="GZ34" i="65037"/>
  <c r="HA34" i="65037" s="1"/>
  <c r="EE34" i="65037"/>
  <c r="GT136" i="65037"/>
  <c r="GU107" i="65037"/>
  <c r="HB29" i="65037"/>
  <c r="HD29" i="65037"/>
  <c r="HE29" i="65037" s="1"/>
  <c r="EF29" i="65037"/>
  <c r="GU85" i="65037"/>
  <c r="GT114" i="65037"/>
  <c r="GU87" i="65037"/>
  <c r="GT116" i="65037"/>
  <c r="GY31" i="65037"/>
  <c r="GX89" i="65037"/>
  <c r="GM146" i="65037"/>
  <c r="GL175" i="65037"/>
  <c r="GT126" i="65037"/>
  <c r="GU97" i="65037"/>
  <c r="GU102" i="65037"/>
  <c r="GT131" i="65037"/>
  <c r="GL171" i="65037"/>
  <c r="GM142" i="65037"/>
  <c r="HD30" i="65037"/>
  <c r="HE30" i="65037" s="1"/>
  <c r="HB30" i="65037"/>
  <c r="EF30" i="65037"/>
  <c r="GY27" i="65037"/>
  <c r="GX85" i="65037"/>
  <c r="GY43" i="65037"/>
  <c r="GX101" i="65037"/>
  <c r="GM159" i="65037"/>
  <c r="GL188" i="65037"/>
  <c r="GP160" i="65037"/>
  <c r="GT118" i="65037"/>
  <c r="GU89" i="65037"/>
  <c r="GM160" i="65037"/>
  <c r="GL189" i="65037"/>
  <c r="GP121" i="65037"/>
  <c r="GQ92" i="65037"/>
  <c r="EF37" i="65037"/>
  <c r="HB37" i="65037"/>
  <c r="HD37" i="65037"/>
  <c r="HE37" i="65037" s="1"/>
  <c r="GP157" i="65037"/>
  <c r="GU96" i="65037"/>
  <c r="GT125" i="65037"/>
  <c r="GL152" i="65037"/>
  <c r="HB46" i="65037"/>
  <c r="HD46" i="65037"/>
  <c r="HE46" i="65037" s="1"/>
  <c r="EF46" i="65037"/>
  <c r="GU91" i="65037"/>
  <c r="GT120" i="65037"/>
  <c r="GM147" i="65037"/>
  <c r="GL176" i="65037"/>
  <c r="GT130" i="65037"/>
  <c r="GU101" i="65037"/>
  <c r="GI158" i="65037"/>
  <c r="GH187" i="65037"/>
  <c r="GP165" i="65037"/>
  <c r="GP141" i="65037"/>
  <c r="GT92" i="65037"/>
  <c r="GU34" i="65037"/>
  <c r="GM151" i="65037"/>
  <c r="GL180" i="65037"/>
  <c r="GX87" i="65037"/>
  <c r="GY29" i="65037"/>
  <c r="GU106" i="65037"/>
  <c r="GT135" i="65037"/>
  <c r="GM162" i="65037"/>
  <c r="GL191" i="65037"/>
  <c r="GP164" i="65037"/>
  <c r="HD26" i="65037"/>
  <c r="HE26" i="65037" s="1"/>
  <c r="HB26" i="65037"/>
  <c r="EF26" i="65037"/>
  <c r="GP143" i="65037"/>
  <c r="GU98" i="65037"/>
  <c r="GT127" i="65037"/>
  <c r="EF27" i="65037"/>
  <c r="HD27" i="65037"/>
  <c r="HE27" i="65037" s="1"/>
  <c r="HB27" i="65037"/>
  <c r="GL172" i="65037"/>
  <c r="GM143" i="65037"/>
  <c r="GQ94" i="65037"/>
  <c r="GP123" i="65037"/>
  <c r="GL177" i="65037"/>
  <c r="GM148" i="65037"/>
  <c r="GP146" i="65037"/>
  <c r="GL193" i="65037"/>
  <c r="GM164" i="65037"/>
  <c r="GY46" i="65037"/>
  <c r="GX104" i="65037"/>
  <c r="HB35" i="65037"/>
  <c r="HD35" i="65037"/>
  <c r="HE35" i="65037" s="1"/>
  <c r="EF35" i="65037"/>
  <c r="GQ86" i="65037"/>
  <c r="GP115" i="65037"/>
  <c r="GU90" i="65037"/>
  <c r="GT119" i="65037"/>
  <c r="GT124" i="65037"/>
  <c r="GU95" i="65037"/>
  <c r="EF49" i="65037"/>
  <c r="HD49" i="65037"/>
  <c r="HE49" i="65037" s="1"/>
  <c r="HB49" i="65037"/>
  <c r="GY39" i="65037"/>
  <c r="GX97" i="65037"/>
  <c r="GP153" i="65037"/>
  <c r="GI144" i="65037"/>
  <c r="GH173" i="65037"/>
  <c r="GL158" i="65037"/>
  <c r="GM156" i="65037"/>
  <c r="GL185" i="65037"/>
  <c r="GP156" i="65037"/>
  <c r="GP142" i="65037"/>
  <c r="GQ103" i="65037"/>
  <c r="GP132" i="65037"/>
  <c r="GL150" i="65037"/>
  <c r="HD40" i="65037"/>
  <c r="HE40" i="65037" s="1"/>
  <c r="EF40" i="65037"/>
  <c r="HB40" i="65037"/>
  <c r="GT86" i="65037"/>
  <c r="GU28" i="65037"/>
  <c r="GT134" i="65037"/>
  <c r="GU105" i="65037"/>
  <c r="EF32" i="65037"/>
  <c r="HB32" i="65037"/>
  <c r="HD32" i="65037"/>
  <c r="HE32" i="65037" s="1"/>
  <c r="HD33" i="65037"/>
  <c r="HE33" i="65037" s="1"/>
  <c r="EF33" i="65037"/>
  <c r="HB33" i="65037"/>
  <c r="GQ100" i="65037"/>
  <c r="GP129" i="65037"/>
  <c r="GX102" i="65037"/>
  <c r="GY44" i="65037"/>
  <c r="GP151" i="65037"/>
  <c r="GU83" i="65037"/>
  <c r="GT112" i="65037"/>
  <c r="GY30" i="65037"/>
  <c r="GX88" i="65037"/>
  <c r="EE45" i="65037"/>
  <c r="GX45" i="65037"/>
  <c r="GZ45" i="65037"/>
  <c r="HA45" i="65037" s="1"/>
  <c r="GX36" i="65037"/>
  <c r="EE36" i="65037"/>
  <c r="GZ36" i="65037"/>
  <c r="HA36" i="65037" s="1"/>
  <c r="GM153" i="65037"/>
  <c r="GL182" i="65037"/>
  <c r="GX107" i="65037"/>
  <c r="GY49" i="65037"/>
  <c r="GX42" i="65037"/>
  <c r="GZ42" i="65037"/>
  <c r="HA42" i="65037" s="1"/>
  <c r="EE42" i="65037"/>
  <c r="GY48" i="65037"/>
  <c r="GX106" i="65037"/>
  <c r="GM141" i="65037"/>
  <c r="GL170" i="65037"/>
  <c r="GL144" i="65037"/>
  <c r="GT128" i="65037"/>
  <c r="GU99" i="65037"/>
  <c r="HB44" i="65037"/>
  <c r="HD44" i="65037"/>
  <c r="HE44" i="65037" s="1"/>
  <c r="EF44" i="65037"/>
  <c r="GM165" i="65037"/>
  <c r="GL194" i="65037"/>
  <c r="GU88" i="65037"/>
  <c r="GT117" i="65037"/>
  <c r="GY25" i="65037"/>
  <c r="GX83" i="65037"/>
  <c r="GP147" i="65037"/>
  <c r="GY41" i="65037"/>
  <c r="GX99" i="65037"/>
  <c r="HD38" i="65037"/>
  <c r="HE38" i="65037" s="1"/>
  <c r="HB38" i="65037"/>
  <c r="EF38" i="65037"/>
  <c r="GH181" i="65037"/>
  <c r="GI152" i="65037"/>
  <c r="GP145" i="65037"/>
  <c r="EF48" i="65037"/>
  <c r="HD48" i="65037"/>
  <c r="HE48" i="65037" s="1"/>
  <c r="HB48" i="65037"/>
  <c r="GP154" i="65037"/>
  <c r="GX98" i="65037"/>
  <c r="GY40" i="65037"/>
  <c r="GP155" i="65037"/>
  <c r="HD43" i="65037"/>
  <c r="HE43" i="65037" s="1"/>
  <c r="EF43" i="65037"/>
  <c r="HB43" i="65037"/>
  <c r="GU104" i="65037"/>
  <c r="GT133" i="65037"/>
  <c r="GT113" i="65037"/>
  <c r="GU84" i="65037"/>
  <c r="GP148" i="65037"/>
  <c r="GM154" i="65037"/>
  <c r="GL183" i="65037"/>
  <c r="GY47" i="65037"/>
  <c r="GX105" i="65037"/>
  <c r="GU45" i="65037"/>
  <c r="GT103" i="65037"/>
  <c r="GL161" i="65037"/>
  <c r="GT94" i="65037"/>
  <c r="GU36" i="65037"/>
  <c r="EF41" i="65037"/>
  <c r="HD41" i="65037"/>
  <c r="HE41" i="65037" s="1"/>
  <c r="HB41" i="65037"/>
  <c r="GX93" i="65037"/>
  <c r="GY35" i="65037"/>
  <c r="GL178" i="65037"/>
  <c r="GM149" i="65037"/>
  <c r="GT100" i="65037"/>
  <c r="GU42" i="65037"/>
  <c r="EF39" i="65037"/>
  <c r="HD39" i="65037"/>
  <c r="HE39" i="65037" s="1"/>
  <c r="HB39" i="65037"/>
  <c r="GL174" i="65037"/>
  <c r="GM145" i="65037"/>
  <c r="GL192" i="65037"/>
  <c r="GM163" i="65037"/>
  <c r="GP159" i="65037"/>
  <c r="GT122" i="65037"/>
  <c r="GU93" i="65037"/>
  <c r="EE28" i="65037"/>
  <c r="GZ28" i="65037"/>
  <c r="HA28" i="65037" s="1"/>
  <c r="GX28" i="65037"/>
  <c r="GL186" i="65037"/>
  <c r="GM157" i="65037"/>
  <c r="GY32" i="65037"/>
  <c r="GX90" i="65037"/>
  <c r="GX91" i="65037"/>
  <c r="GY33" i="65037"/>
  <c r="EF31" i="65037"/>
  <c r="HB31" i="65037"/>
  <c r="HD31" i="65037"/>
  <c r="HE31" i="65037" s="1"/>
  <c r="GX84" i="65037"/>
  <c r="GY26" i="65037"/>
  <c r="GP162" i="65037"/>
  <c r="HF31" i="65037" l="1"/>
  <c r="HH31" i="65037"/>
  <c r="HI31" i="65037" s="1"/>
  <c r="EG31" i="65037"/>
  <c r="GQ159" i="65037"/>
  <c r="GP188" i="65037"/>
  <c r="HC39" i="65037"/>
  <c r="HB97" i="65037"/>
  <c r="HF41" i="65037"/>
  <c r="HH41" i="65037"/>
  <c r="HI41" i="65037" s="1"/>
  <c r="EG41" i="65037"/>
  <c r="GQ155" i="65037"/>
  <c r="GP184" i="65037"/>
  <c r="GQ154" i="65037"/>
  <c r="GP183" i="65037"/>
  <c r="HH44" i="65037"/>
  <c r="HI44" i="65037" s="1"/>
  <c r="EG44" i="65037"/>
  <c r="HF44" i="65037"/>
  <c r="GT157" i="65037"/>
  <c r="HB42" i="65037"/>
  <c r="HD42" i="65037"/>
  <c r="HE42" i="65037" s="1"/>
  <c r="EF42" i="65037"/>
  <c r="GY36" i="65037"/>
  <c r="GX94" i="65037"/>
  <c r="GY102" i="65037"/>
  <c r="GX131" i="65037"/>
  <c r="HC33" i="65037"/>
  <c r="HB91" i="65037"/>
  <c r="HB90" i="65037"/>
  <c r="HC32" i="65037"/>
  <c r="GX133" i="65037"/>
  <c r="GY104" i="65037"/>
  <c r="EG27" i="65037"/>
  <c r="HH27" i="65037"/>
  <c r="HI27" i="65037" s="1"/>
  <c r="HF27" i="65037"/>
  <c r="HC26" i="65037"/>
  <c r="HB84" i="65037"/>
  <c r="HC46" i="65037"/>
  <c r="HB104" i="65037"/>
  <c r="GY101" i="65037"/>
  <c r="GX130" i="65037"/>
  <c r="GX118" i="65037"/>
  <c r="GY89" i="65037"/>
  <c r="GT143" i="65037"/>
  <c r="HF29" i="65037"/>
  <c r="HH29" i="65037"/>
  <c r="HI29" i="65037" s="1"/>
  <c r="EG29" i="65037"/>
  <c r="GY34" i="65037"/>
  <c r="GX92" i="65037"/>
  <c r="GP192" i="65037"/>
  <c r="GQ163" i="65037"/>
  <c r="GP191" i="65037"/>
  <c r="GQ162" i="65037"/>
  <c r="HB89" i="65037"/>
  <c r="HC31" i="65037"/>
  <c r="GY91" i="65037"/>
  <c r="GX120" i="65037"/>
  <c r="GX86" i="65037"/>
  <c r="GY28" i="65037"/>
  <c r="GT151" i="65037"/>
  <c r="HF39" i="65037"/>
  <c r="HH39" i="65037"/>
  <c r="HI39" i="65037" s="1"/>
  <c r="EG39" i="65037"/>
  <c r="GT123" i="65037"/>
  <c r="GU94" i="65037"/>
  <c r="GT132" i="65037"/>
  <c r="GU103" i="65037"/>
  <c r="HH43" i="65037"/>
  <c r="HI43" i="65037" s="1"/>
  <c r="EG43" i="65037"/>
  <c r="HF43" i="65037"/>
  <c r="HC38" i="65037"/>
  <c r="HB96" i="65037"/>
  <c r="GT146" i="65037"/>
  <c r="HB102" i="65037"/>
  <c r="HC44" i="65037"/>
  <c r="GX135" i="65037"/>
  <c r="GY106" i="65037"/>
  <c r="GX100" i="65037"/>
  <c r="GY42" i="65037"/>
  <c r="HD45" i="65037"/>
  <c r="HE45" i="65037" s="1"/>
  <c r="EF45" i="65037"/>
  <c r="HB45" i="65037"/>
  <c r="GQ151" i="65037"/>
  <c r="GP180" i="65037"/>
  <c r="GP158" i="65037"/>
  <c r="GT115" i="65037"/>
  <c r="GU86" i="65037"/>
  <c r="HC40" i="65037"/>
  <c r="HB98" i="65037"/>
  <c r="GL179" i="65037"/>
  <c r="GM150" i="65037"/>
  <c r="HB107" i="65037"/>
  <c r="HC49" i="65037"/>
  <c r="GQ146" i="65037"/>
  <c r="GP175" i="65037"/>
  <c r="HH26" i="65037"/>
  <c r="HI26" i="65037" s="1"/>
  <c r="EG26" i="65037"/>
  <c r="HF26" i="65037"/>
  <c r="GP170" i="65037"/>
  <c r="GQ141" i="65037"/>
  <c r="GM152" i="65037"/>
  <c r="GL181" i="65037"/>
  <c r="GQ157" i="65037"/>
  <c r="GP186" i="65037"/>
  <c r="GP189" i="65037"/>
  <c r="GQ160" i="65037"/>
  <c r="HC30" i="65037"/>
  <c r="HB88" i="65037"/>
  <c r="GT155" i="65037"/>
  <c r="HB87" i="65037"/>
  <c r="HC29" i="65037"/>
  <c r="GQ149" i="65037"/>
  <c r="GP178" i="65037"/>
  <c r="HC47" i="65037"/>
  <c r="HB105" i="65037"/>
  <c r="GX119" i="65037"/>
  <c r="GY90" i="65037"/>
  <c r="EF28" i="65037"/>
  <c r="HB28" i="65037"/>
  <c r="HD28" i="65037"/>
  <c r="HE28" i="65037" s="1"/>
  <c r="GM161" i="65037"/>
  <c r="GL190" i="65037"/>
  <c r="GX134" i="65037"/>
  <c r="GY105" i="65037"/>
  <c r="GP177" i="65037"/>
  <c r="GQ148" i="65037"/>
  <c r="GT142" i="65037"/>
  <c r="HB106" i="65037"/>
  <c r="HC48" i="65037"/>
  <c r="GP174" i="65037"/>
  <c r="GQ145" i="65037"/>
  <c r="HH38" i="65037"/>
  <c r="HI38" i="65037" s="1"/>
  <c r="EG38" i="65037"/>
  <c r="HF38" i="65037"/>
  <c r="GQ147" i="65037"/>
  <c r="GP176" i="65037"/>
  <c r="GM144" i="65037"/>
  <c r="GL173" i="65037"/>
  <c r="HB36" i="65037"/>
  <c r="EF36" i="65037"/>
  <c r="HD36" i="65037"/>
  <c r="HE36" i="65037" s="1"/>
  <c r="GY45" i="65037"/>
  <c r="GX103" i="65037"/>
  <c r="HH33" i="65037"/>
  <c r="HI33" i="65037" s="1"/>
  <c r="HF33" i="65037"/>
  <c r="EG33" i="65037"/>
  <c r="GP161" i="65037"/>
  <c r="GQ142" i="65037"/>
  <c r="GP171" i="65037"/>
  <c r="GL187" i="65037"/>
  <c r="GM158" i="65037"/>
  <c r="GP182" i="65037"/>
  <c r="GQ153" i="65037"/>
  <c r="EG49" i="65037"/>
  <c r="HF49" i="65037"/>
  <c r="HH49" i="65037"/>
  <c r="HI49" i="65037" s="1"/>
  <c r="GT153" i="65037"/>
  <c r="HF35" i="65037"/>
  <c r="HH35" i="65037"/>
  <c r="HI35" i="65037" s="1"/>
  <c r="EG35" i="65037"/>
  <c r="GY87" i="65037"/>
  <c r="GX116" i="65037"/>
  <c r="GT154" i="65037"/>
  <c r="HF37" i="65037"/>
  <c r="EG37" i="65037"/>
  <c r="HH37" i="65037"/>
  <c r="HI37" i="65037" s="1"/>
  <c r="GP150" i="65037"/>
  <c r="GY85" i="65037"/>
  <c r="GX114" i="65037"/>
  <c r="HH30" i="65037"/>
  <c r="HI30" i="65037" s="1"/>
  <c r="HF30" i="65037"/>
  <c r="EG30" i="65037"/>
  <c r="GT160" i="65037"/>
  <c r="GT145" i="65037"/>
  <c r="HC25" i="65037"/>
  <c r="HB83" i="65037"/>
  <c r="GY95" i="65037"/>
  <c r="GX124" i="65037"/>
  <c r="EG47" i="65037"/>
  <c r="HH47" i="65037"/>
  <c r="HI47" i="65037" s="1"/>
  <c r="HF47" i="65037"/>
  <c r="GX113" i="65037"/>
  <c r="GY84" i="65037"/>
  <c r="GT129" i="65037"/>
  <c r="GU100" i="65037"/>
  <c r="GY93" i="65037"/>
  <c r="GX122" i="65037"/>
  <c r="HB99" i="65037"/>
  <c r="HC41" i="65037"/>
  <c r="EE22" i="65037"/>
  <c r="GT162" i="65037"/>
  <c r="HC43" i="65037"/>
  <c r="HB101" i="65037"/>
  <c r="GX127" i="65037"/>
  <c r="GY98" i="65037"/>
  <c r="HH48" i="65037"/>
  <c r="HI48" i="65037" s="1"/>
  <c r="HF48" i="65037"/>
  <c r="EG48" i="65037"/>
  <c r="GY99" i="65037"/>
  <c r="GX128" i="65037"/>
  <c r="GX112" i="65037"/>
  <c r="GY83" i="65037"/>
  <c r="GY107" i="65037"/>
  <c r="GX136" i="65037"/>
  <c r="GY88" i="65037"/>
  <c r="GX117" i="65037"/>
  <c r="GT141" i="65037"/>
  <c r="HH32" i="65037"/>
  <c r="HI32" i="65037" s="1"/>
  <c r="EG32" i="65037"/>
  <c r="HF32" i="65037"/>
  <c r="GT163" i="65037"/>
  <c r="HH40" i="65037"/>
  <c r="HI40" i="65037" s="1"/>
  <c r="HF40" i="65037"/>
  <c r="EG40" i="65037"/>
  <c r="GQ156" i="65037"/>
  <c r="GP185" i="65037"/>
  <c r="GY97" i="65037"/>
  <c r="GX126" i="65037"/>
  <c r="GT148" i="65037"/>
  <c r="GP144" i="65037"/>
  <c r="HB93" i="65037"/>
  <c r="HC35" i="65037"/>
  <c r="GP152" i="65037"/>
  <c r="HC27" i="65037"/>
  <c r="HB85" i="65037"/>
  <c r="GT156" i="65037"/>
  <c r="GP172" i="65037"/>
  <c r="GQ143" i="65037"/>
  <c r="GP193" i="65037"/>
  <c r="GQ164" i="65037"/>
  <c r="GT164" i="65037"/>
  <c r="GT121" i="65037"/>
  <c r="GU92" i="65037"/>
  <c r="GP194" i="65037"/>
  <c r="GQ165" i="65037"/>
  <c r="GT159" i="65037"/>
  <c r="GT149" i="65037"/>
  <c r="EG46" i="65037"/>
  <c r="HF46" i="65037"/>
  <c r="HH46" i="65037"/>
  <c r="HI46" i="65037" s="1"/>
  <c r="HB95" i="65037"/>
  <c r="HC37" i="65037"/>
  <c r="GT147" i="65037"/>
  <c r="GT165" i="65037"/>
  <c r="EF34" i="65037"/>
  <c r="HD34" i="65037"/>
  <c r="HE34" i="65037" s="1"/>
  <c r="HB34" i="65037"/>
  <c r="GX125" i="65037"/>
  <c r="GY96" i="65037"/>
  <c r="EG25" i="65037"/>
  <c r="HH25" i="65037"/>
  <c r="HI25" i="65037" s="1"/>
  <c r="HF25" i="65037"/>
  <c r="EF22" i="65037" l="1"/>
  <c r="HJ25" i="65037"/>
  <c r="EH25" i="65037"/>
  <c r="HL25" i="65037"/>
  <c r="HM25" i="65037" s="1"/>
  <c r="HC34" i="65037"/>
  <c r="HB92" i="65037"/>
  <c r="GT188" i="65037"/>
  <c r="GU159" i="65037"/>
  <c r="GT150" i="65037"/>
  <c r="GU156" i="65037"/>
  <c r="GT185" i="65037"/>
  <c r="GP181" i="65037"/>
  <c r="GQ152" i="65037"/>
  <c r="HL40" i="65037"/>
  <c r="HM40" i="65037" s="1"/>
  <c r="EH40" i="65037"/>
  <c r="HJ40" i="65037"/>
  <c r="GX151" i="65037"/>
  <c r="EH47" i="65037"/>
  <c r="HL47" i="65037"/>
  <c r="HM47" i="65037" s="1"/>
  <c r="HJ47" i="65037"/>
  <c r="HC83" i="65037"/>
  <c r="HB112" i="65037"/>
  <c r="GU145" i="65037"/>
  <c r="GT174" i="65037"/>
  <c r="HF88" i="65037"/>
  <c r="HG30" i="65037"/>
  <c r="GQ150" i="65037"/>
  <c r="GP179" i="65037"/>
  <c r="HF95" i="65037"/>
  <c r="HG37" i="65037"/>
  <c r="GU153" i="65037"/>
  <c r="GT182" i="65037"/>
  <c r="HL33" i="65037"/>
  <c r="HM33" i="65037" s="1"/>
  <c r="HJ33" i="65037"/>
  <c r="EH33" i="65037"/>
  <c r="EG36" i="65037"/>
  <c r="HH36" i="65037"/>
  <c r="HI36" i="65037" s="1"/>
  <c r="HF36" i="65037"/>
  <c r="HF96" i="65037"/>
  <c r="HG38" i="65037"/>
  <c r="GT171" i="65037"/>
  <c r="GU142" i="65037"/>
  <c r="GX163" i="65037"/>
  <c r="HC105" i="65037"/>
  <c r="HB134" i="65037"/>
  <c r="HB117" i="65037"/>
  <c r="HC88" i="65037"/>
  <c r="GT144" i="65037"/>
  <c r="GQ158" i="65037"/>
  <c r="GP187" i="65037"/>
  <c r="HF101" i="65037"/>
  <c r="HG43" i="65037"/>
  <c r="GT161" i="65037"/>
  <c r="HJ39" i="65037"/>
  <c r="HL39" i="65037"/>
  <c r="HM39" i="65037" s="1"/>
  <c r="EH39" i="65037"/>
  <c r="GX162" i="65037"/>
  <c r="EH44" i="65037"/>
  <c r="HJ44" i="65037"/>
  <c r="HL44" i="65037"/>
  <c r="HM44" i="65037" s="1"/>
  <c r="HG41" i="65037"/>
  <c r="HF99" i="65037"/>
  <c r="HH34" i="65037"/>
  <c r="HI34" i="65037" s="1"/>
  <c r="HF34" i="65037"/>
  <c r="EG34" i="65037"/>
  <c r="HC95" i="65037"/>
  <c r="HB124" i="65037"/>
  <c r="GT178" i="65037"/>
  <c r="GU149" i="65037"/>
  <c r="GQ144" i="65037"/>
  <c r="GP173" i="65037"/>
  <c r="EH32" i="65037"/>
  <c r="HL32" i="65037"/>
  <c r="HM32" i="65037" s="1"/>
  <c r="HJ32" i="65037"/>
  <c r="GT170" i="65037"/>
  <c r="GU141" i="65037"/>
  <c r="GX156" i="65037"/>
  <c r="GU162" i="65037"/>
  <c r="GT191" i="65037"/>
  <c r="HJ30" i="65037"/>
  <c r="EH30" i="65037"/>
  <c r="HL30" i="65037"/>
  <c r="HM30" i="65037" s="1"/>
  <c r="GT183" i="65037"/>
  <c r="GU154" i="65037"/>
  <c r="EH35" i="65037"/>
  <c r="HJ35" i="65037"/>
  <c r="HL35" i="65037"/>
  <c r="HM35" i="65037" s="1"/>
  <c r="GP190" i="65037"/>
  <c r="GQ161" i="65037"/>
  <c r="HF28" i="65037"/>
  <c r="EG28" i="65037"/>
  <c r="HH28" i="65037"/>
  <c r="HI28" i="65037" s="1"/>
  <c r="GX148" i="65037"/>
  <c r="HC87" i="65037"/>
  <c r="HB116" i="65037"/>
  <c r="HJ26" i="65037"/>
  <c r="EH26" i="65037"/>
  <c r="HL26" i="65037"/>
  <c r="HM26" i="65037" s="1"/>
  <c r="HB127" i="65037"/>
  <c r="HC98" i="65037"/>
  <c r="HH45" i="65037"/>
  <c r="HI45" i="65037" s="1"/>
  <c r="EG45" i="65037"/>
  <c r="HF45" i="65037"/>
  <c r="GX164" i="65037"/>
  <c r="HB125" i="65037"/>
  <c r="HC96" i="65037"/>
  <c r="HG39" i="65037"/>
  <c r="HF97" i="65037"/>
  <c r="GY86" i="65037"/>
  <c r="GX115" i="65037"/>
  <c r="HB118" i="65037"/>
  <c r="HC89" i="65037"/>
  <c r="GU143" i="65037"/>
  <c r="GT172" i="65037"/>
  <c r="GX159" i="65037"/>
  <c r="HC104" i="65037"/>
  <c r="HB133" i="65037"/>
  <c r="HF85" i="65037"/>
  <c r="HG27" i="65037"/>
  <c r="GX160" i="65037"/>
  <c r="GU157" i="65037"/>
  <c r="GT186" i="65037"/>
  <c r="HB126" i="65037"/>
  <c r="HC97" i="65037"/>
  <c r="GT176" i="65037"/>
  <c r="GU147" i="65037"/>
  <c r="HL46" i="65037"/>
  <c r="HM46" i="65037" s="1"/>
  <c r="HJ46" i="65037"/>
  <c r="EH46" i="65037"/>
  <c r="GU164" i="65037"/>
  <c r="GT193" i="65037"/>
  <c r="HC85" i="65037"/>
  <c r="HB114" i="65037"/>
  <c r="GT177" i="65037"/>
  <c r="GU148" i="65037"/>
  <c r="GX155" i="65037"/>
  <c r="GT192" i="65037"/>
  <c r="GU163" i="65037"/>
  <c r="GX146" i="65037"/>
  <c r="GX141" i="65037"/>
  <c r="HF106" i="65037"/>
  <c r="HG48" i="65037"/>
  <c r="HC101" i="65037"/>
  <c r="HB130" i="65037"/>
  <c r="GX142" i="65037"/>
  <c r="GX153" i="65037"/>
  <c r="GT189" i="65037"/>
  <c r="GU160" i="65037"/>
  <c r="GX143" i="65037"/>
  <c r="HJ37" i="65037"/>
  <c r="HL37" i="65037"/>
  <c r="HM37" i="65037" s="1"/>
  <c r="EH37" i="65037"/>
  <c r="GX145" i="65037"/>
  <c r="HG35" i="65037"/>
  <c r="HF93" i="65037"/>
  <c r="HL49" i="65037"/>
  <c r="HM49" i="65037" s="1"/>
  <c r="EH49" i="65037"/>
  <c r="HJ49" i="65037"/>
  <c r="GX132" i="65037"/>
  <c r="GY103" i="65037"/>
  <c r="HB94" i="65037"/>
  <c r="HC36" i="65037"/>
  <c r="HJ38" i="65037"/>
  <c r="EH38" i="65037"/>
  <c r="HL38" i="65037"/>
  <c r="HM38" i="65037" s="1"/>
  <c r="HB135" i="65037"/>
  <c r="HC106" i="65037"/>
  <c r="HB86" i="65037"/>
  <c r="HC28" i="65037"/>
  <c r="HB136" i="65037"/>
  <c r="HC107" i="65037"/>
  <c r="HJ43" i="65037"/>
  <c r="EH43" i="65037"/>
  <c r="HL43" i="65037"/>
  <c r="HM43" i="65037" s="1"/>
  <c r="GT152" i="65037"/>
  <c r="GX149" i="65037"/>
  <c r="EH29" i="65037"/>
  <c r="HL29" i="65037"/>
  <c r="HM29" i="65037" s="1"/>
  <c r="HJ29" i="65037"/>
  <c r="HJ27" i="65037"/>
  <c r="EH27" i="65037"/>
  <c r="HL27" i="65037"/>
  <c r="HM27" i="65037" s="1"/>
  <c r="HB119" i="65037"/>
  <c r="HC90" i="65037"/>
  <c r="HF42" i="65037"/>
  <c r="HH42" i="65037"/>
  <c r="HI42" i="65037" s="1"/>
  <c r="EG42" i="65037"/>
  <c r="HF102" i="65037"/>
  <c r="HG44" i="65037"/>
  <c r="EH31" i="65037"/>
  <c r="HL31" i="65037"/>
  <c r="HM31" i="65037" s="1"/>
  <c r="HJ31" i="65037"/>
  <c r="HG25" i="65037"/>
  <c r="HF83" i="65037"/>
  <c r="GX154" i="65037"/>
  <c r="GT194" i="65037"/>
  <c r="GU165" i="65037"/>
  <c r="HG46" i="65037"/>
  <c r="HF104" i="65037"/>
  <c r="HC93" i="65037"/>
  <c r="HB122" i="65037"/>
  <c r="HG40" i="65037"/>
  <c r="HF98" i="65037"/>
  <c r="HF90" i="65037"/>
  <c r="HG32" i="65037"/>
  <c r="GX165" i="65037"/>
  <c r="GX157" i="65037"/>
  <c r="EH48" i="65037"/>
  <c r="HL48" i="65037"/>
  <c r="HM48" i="65037" s="1"/>
  <c r="HJ48" i="65037"/>
  <c r="HB128" i="65037"/>
  <c r="HC99" i="65037"/>
  <c r="GT158" i="65037"/>
  <c r="HF105" i="65037"/>
  <c r="HG47" i="65037"/>
  <c r="HF107" i="65037"/>
  <c r="HG49" i="65037"/>
  <c r="HF91" i="65037"/>
  <c r="HG33" i="65037"/>
  <c r="GT184" i="65037"/>
  <c r="GU155" i="65037"/>
  <c r="HG26" i="65037"/>
  <c r="HF84" i="65037"/>
  <c r="HC45" i="65037"/>
  <c r="HB103" i="65037"/>
  <c r="GX129" i="65037"/>
  <c r="GY100" i="65037"/>
  <c r="HC102" i="65037"/>
  <c r="HB131" i="65037"/>
  <c r="GU146" i="65037"/>
  <c r="GT175" i="65037"/>
  <c r="GU151" i="65037"/>
  <c r="GT180" i="65037"/>
  <c r="GY92" i="65037"/>
  <c r="GX121" i="65037"/>
  <c r="HG29" i="65037"/>
  <c r="HF87" i="65037"/>
  <c r="GX147" i="65037"/>
  <c r="HB113" i="65037"/>
  <c r="HC84" i="65037"/>
  <c r="HC91" i="65037"/>
  <c r="HB120" i="65037"/>
  <c r="GX123" i="65037"/>
  <c r="GY94" i="65037"/>
  <c r="HC42" i="65037"/>
  <c r="HB100" i="65037"/>
  <c r="EH41" i="65037"/>
  <c r="HJ41" i="65037"/>
  <c r="HL41" i="65037"/>
  <c r="HM41" i="65037" s="1"/>
  <c r="HF89" i="65037"/>
  <c r="HG31" i="65037"/>
  <c r="EG22" i="65037" l="1"/>
  <c r="HC100" i="65037"/>
  <c r="HB129" i="65037"/>
  <c r="GX150" i="65037"/>
  <c r="HG105" i="65037"/>
  <c r="HF134" i="65037"/>
  <c r="HP31" i="65037"/>
  <c r="HQ31" i="65037" s="1"/>
  <c r="HN31" i="65037"/>
  <c r="EI31" i="65037"/>
  <c r="HN27" i="65037"/>
  <c r="EI27" i="65037"/>
  <c r="HP27" i="65037"/>
  <c r="HQ27" i="65037" s="1"/>
  <c r="HB165" i="65037"/>
  <c r="HG106" i="65037"/>
  <c r="HF135" i="65037"/>
  <c r="HB143" i="65037"/>
  <c r="GY160" i="65037"/>
  <c r="GX189" i="65037"/>
  <c r="HB147" i="65037"/>
  <c r="HB154" i="65037"/>
  <c r="EI32" i="65037"/>
  <c r="HN32" i="65037"/>
  <c r="HP32" i="65037"/>
  <c r="HQ32" i="65037" s="1"/>
  <c r="HK44" i="65037"/>
  <c r="HJ102" i="65037"/>
  <c r="HN39" i="65037"/>
  <c r="HP39" i="65037"/>
  <c r="HQ39" i="65037" s="1"/>
  <c r="EI39" i="65037"/>
  <c r="HB146" i="65037"/>
  <c r="HJ91" i="65037"/>
  <c r="HK33" i="65037"/>
  <c r="HJ105" i="65037"/>
  <c r="HK47" i="65037"/>
  <c r="GY151" i="65037"/>
  <c r="GX180" i="65037"/>
  <c r="HG84" i="65037"/>
  <c r="HF113" i="65037"/>
  <c r="HF136" i="65037"/>
  <c r="HG107" i="65037"/>
  <c r="GX186" i="65037"/>
  <c r="GY157" i="65037"/>
  <c r="HB151" i="65037"/>
  <c r="HG83" i="65037"/>
  <c r="HF112" i="65037"/>
  <c r="HJ42" i="65037"/>
  <c r="HL42" i="65037"/>
  <c r="HM42" i="65037" s="1"/>
  <c r="EH42" i="65037"/>
  <c r="HK38" i="65037"/>
  <c r="HJ96" i="65037"/>
  <c r="HN37" i="65037"/>
  <c r="EI37" i="65037"/>
  <c r="HP37" i="65037"/>
  <c r="HQ37" i="65037" s="1"/>
  <c r="GX184" i="65037"/>
  <c r="GY155" i="65037"/>
  <c r="GX193" i="65037"/>
  <c r="GY164" i="65037"/>
  <c r="EI35" i="65037"/>
  <c r="HN35" i="65037"/>
  <c r="HP35" i="65037"/>
  <c r="HQ35" i="65037" s="1"/>
  <c r="HF128" i="65037"/>
  <c r="HG99" i="65037"/>
  <c r="HJ97" i="65037"/>
  <c r="HK39" i="65037"/>
  <c r="HF130" i="65037"/>
  <c r="HG101" i="65037"/>
  <c r="GT173" i="65037"/>
  <c r="GU144" i="65037"/>
  <c r="HJ36" i="65037"/>
  <c r="EH36" i="65037"/>
  <c r="HL36" i="65037"/>
  <c r="HM36" i="65037" s="1"/>
  <c r="EI47" i="65037"/>
  <c r="HN47" i="65037"/>
  <c r="HP47" i="65037"/>
  <c r="HQ47" i="65037" s="1"/>
  <c r="HC92" i="65037"/>
  <c r="HB121" i="65037"/>
  <c r="HJ83" i="65037"/>
  <c r="HK25" i="65037"/>
  <c r="HJ99" i="65037"/>
  <c r="HK41" i="65037"/>
  <c r="HG87" i="65037"/>
  <c r="HF116" i="65037"/>
  <c r="GX158" i="65037"/>
  <c r="HF120" i="65037"/>
  <c r="HG91" i="65037"/>
  <c r="HN48" i="65037"/>
  <c r="EI48" i="65037"/>
  <c r="HP48" i="65037"/>
  <c r="HQ48" i="65037" s="1"/>
  <c r="HG98" i="65037"/>
  <c r="HF127" i="65037"/>
  <c r="HG42" i="65037"/>
  <c r="HF100" i="65037"/>
  <c r="HJ85" i="65037"/>
  <c r="HK27" i="65037"/>
  <c r="HN29" i="65037"/>
  <c r="EI29" i="65037"/>
  <c r="HP29" i="65037"/>
  <c r="HQ29" i="65037" s="1"/>
  <c r="GX178" i="65037"/>
  <c r="GY149" i="65037"/>
  <c r="HK43" i="65037"/>
  <c r="HJ101" i="65037"/>
  <c r="HB164" i="65037"/>
  <c r="GY145" i="65037"/>
  <c r="GX174" i="65037"/>
  <c r="HJ95" i="65037"/>
  <c r="HK37" i="65037"/>
  <c r="GY142" i="65037"/>
  <c r="GX171" i="65037"/>
  <c r="GY141" i="65037"/>
  <c r="GX170" i="65037"/>
  <c r="HN46" i="65037"/>
  <c r="HP46" i="65037"/>
  <c r="HQ46" i="65037" s="1"/>
  <c r="EI46" i="65037"/>
  <c r="HB155" i="65037"/>
  <c r="HG85" i="65037"/>
  <c r="HF114" i="65037"/>
  <c r="HG45" i="65037"/>
  <c r="HF103" i="65037"/>
  <c r="HB156" i="65037"/>
  <c r="HB145" i="65037"/>
  <c r="GY148" i="65037"/>
  <c r="GX177" i="65037"/>
  <c r="HG28" i="65037"/>
  <c r="HF86" i="65037"/>
  <c r="HK35" i="65037"/>
  <c r="HJ93" i="65037"/>
  <c r="HN30" i="65037"/>
  <c r="HP30" i="65037"/>
  <c r="HQ30" i="65037" s="1"/>
  <c r="EI30" i="65037"/>
  <c r="HB153" i="65037"/>
  <c r="HL34" i="65037"/>
  <c r="HM34" i="65037" s="1"/>
  <c r="HJ34" i="65037"/>
  <c r="EH34" i="65037"/>
  <c r="GX191" i="65037"/>
  <c r="GY162" i="65037"/>
  <c r="HB163" i="65037"/>
  <c r="HB141" i="65037"/>
  <c r="HK40" i="65037"/>
  <c r="HJ98" i="65037"/>
  <c r="HB149" i="65037"/>
  <c r="GU158" i="65037"/>
  <c r="GT187" i="65037"/>
  <c r="HB148" i="65037"/>
  <c r="HP43" i="65037"/>
  <c r="HQ43" i="65037" s="1"/>
  <c r="HN43" i="65037"/>
  <c r="EI43" i="65037"/>
  <c r="HG93" i="65037"/>
  <c r="HF122" i="65037"/>
  <c r="EH45" i="65037"/>
  <c r="HL45" i="65037"/>
  <c r="HM45" i="65037" s="1"/>
  <c r="HJ45" i="65037"/>
  <c r="HL28" i="65037"/>
  <c r="HM28" i="65037" s="1"/>
  <c r="HJ28" i="65037"/>
  <c r="EH28" i="65037"/>
  <c r="HJ88" i="65037"/>
  <c r="HK30" i="65037"/>
  <c r="HG36" i="65037"/>
  <c r="HF94" i="65037"/>
  <c r="EI40" i="65037"/>
  <c r="HN40" i="65037"/>
  <c r="HP40" i="65037"/>
  <c r="HQ40" i="65037" s="1"/>
  <c r="GT179" i="65037"/>
  <c r="GU150" i="65037"/>
  <c r="HG89" i="65037"/>
  <c r="HF118" i="65037"/>
  <c r="HP41" i="65037"/>
  <c r="HQ41" i="65037" s="1"/>
  <c r="HN41" i="65037"/>
  <c r="EI41" i="65037"/>
  <c r="GX176" i="65037"/>
  <c r="GY147" i="65037"/>
  <c r="HJ106" i="65037"/>
  <c r="HK48" i="65037"/>
  <c r="HF119" i="65037"/>
  <c r="HG90" i="65037"/>
  <c r="HJ87" i="65037"/>
  <c r="HK29" i="65037"/>
  <c r="HC86" i="65037"/>
  <c r="HB115" i="65037"/>
  <c r="GX161" i="65037"/>
  <c r="HJ107" i="65037"/>
  <c r="HK49" i="65037"/>
  <c r="HB159" i="65037"/>
  <c r="HJ104" i="65037"/>
  <c r="HK46" i="65037"/>
  <c r="GY159" i="65037"/>
  <c r="GX188" i="65037"/>
  <c r="GX144" i="65037"/>
  <c r="HJ84" i="65037"/>
  <c r="HK26" i="65037"/>
  <c r="HG34" i="65037"/>
  <c r="HF92" i="65037"/>
  <c r="HP33" i="65037"/>
  <c r="HQ33" i="65037" s="1"/>
  <c r="EI33" i="65037"/>
  <c r="HN33" i="65037"/>
  <c r="GX152" i="65037"/>
  <c r="HB142" i="65037"/>
  <c r="HB160" i="65037"/>
  <c r="HB132" i="65037"/>
  <c r="HC103" i="65037"/>
  <c r="HB157" i="65037"/>
  <c r="GY165" i="65037"/>
  <c r="GX194" i="65037"/>
  <c r="HG104" i="65037"/>
  <c r="HF133" i="65037"/>
  <c r="GX183" i="65037"/>
  <c r="GY154" i="65037"/>
  <c r="HK31" i="65037"/>
  <c r="HJ89" i="65037"/>
  <c r="HG102" i="65037"/>
  <c r="HF131" i="65037"/>
  <c r="GU152" i="65037"/>
  <c r="GT181" i="65037"/>
  <c r="HP38" i="65037"/>
  <c r="HQ38" i="65037" s="1"/>
  <c r="HN38" i="65037"/>
  <c r="EI38" i="65037"/>
  <c r="HC94" i="65037"/>
  <c r="HB123" i="65037"/>
  <c r="HN49" i="65037"/>
  <c r="EI49" i="65037"/>
  <c r="HP49" i="65037"/>
  <c r="HQ49" i="65037" s="1"/>
  <c r="GX172" i="65037"/>
  <c r="GY143" i="65037"/>
  <c r="GX182" i="65037"/>
  <c r="GY153" i="65037"/>
  <c r="GY146" i="65037"/>
  <c r="GX175" i="65037"/>
  <c r="HB162" i="65037"/>
  <c r="HG97" i="65037"/>
  <c r="HF126" i="65037"/>
  <c r="EI26" i="65037"/>
  <c r="HN26" i="65037"/>
  <c r="HP26" i="65037"/>
  <c r="HQ26" i="65037" s="1"/>
  <c r="GX185" i="65037"/>
  <c r="GY156" i="65037"/>
  <c r="HK32" i="65037"/>
  <c r="HJ90" i="65037"/>
  <c r="EI44" i="65037"/>
  <c r="HN44" i="65037"/>
  <c r="HP44" i="65037"/>
  <c r="HQ44" i="65037" s="1"/>
  <c r="GU161" i="65037"/>
  <c r="GT190" i="65037"/>
  <c r="GX192" i="65037"/>
  <c r="GY163" i="65037"/>
  <c r="HF125" i="65037"/>
  <c r="HG96" i="65037"/>
  <c r="HF124" i="65037"/>
  <c r="HG95" i="65037"/>
  <c r="HF117" i="65037"/>
  <c r="HG88" i="65037"/>
  <c r="HN25" i="65037"/>
  <c r="EI25" i="65037"/>
  <c r="HP25" i="65037"/>
  <c r="HQ25" i="65037" s="1"/>
  <c r="EH22" i="65037" l="1"/>
  <c r="HF146" i="65037"/>
  <c r="HO44" i="65037"/>
  <c r="HN102" i="65037"/>
  <c r="HN83" i="65037"/>
  <c r="HO25" i="65037"/>
  <c r="HG124" i="65037"/>
  <c r="HF153" i="65037"/>
  <c r="HF155" i="65037"/>
  <c r="HO38" i="65037"/>
  <c r="HN96" i="65037"/>
  <c r="HB161" i="65037"/>
  <c r="HR33" i="65037"/>
  <c r="HT33" i="65037"/>
  <c r="HU33" i="65037" s="1"/>
  <c r="EJ33" i="65037"/>
  <c r="HK106" i="65037"/>
  <c r="HJ135" i="65037"/>
  <c r="HN99" i="65037"/>
  <c r="HO41" i="65037"/>
  <c r="HO40" i="65037"/>
  <c r="HN98" i="65037"/>
  <c r="HJ117" i="65037"/>
  <c r="HK88" i="65037"/>
  <c r="HK45" i="65037"/>
  <c r="HJ103" i="65037"/>
  <c r="HK98" i="65037"/>
  <c r="HJ127" i="65037"/>
  <c r="HJ122" i="65037"/>
  <c r="HK93" i="65037"/>
  <c r="HT46" i="65037"/>
  <c r="HU46" i="65037" s="1"/>
  <c r="EJ46" i="65037"/>
  <c r="HR46" i="65037"/>
  <c r="HJ124" i="65037"/>
  <c r="HK95" i="65037"/>
  <c r="HB193" i="65037"/>
  <c r="HC164" i="65037"/>
  <c r="HG100" i="65037"/>
  <c r="HF129" i="65037"/>
  <c r="HF149" i="65037"/>
  <c r="HK83" i="65037"/>
  <c r="HJ112" i="65037"/>
  <c r="HR35" i="65037"/>
  <c r="HT35" i="65037"/>
  <c r="HU35" i="65037" s="1"/>
  <c r="EJ35" i="65037"/>
  <c r="HK96" i="65037"/>
  <c r="HJ125" i="65037"/>
  <c r="HF141" i="65037"/>
  <c r="HF142" i="65037"/>
  <c r="HB175" i="65037"/>
  <c r="HC146" i="65037"/>
  <c r="HK102" i="65037"/>
  <c r="HJ131" i="65037"/>
  <c r="HC147" i="65037"/>
  <c r="HB176" i="65037"/>
  <c r="HB194" i="65037"/>
  <c r="HC165" i="65037"/>
  <c r="HT27" i="65037"/>
  <c r="HU27" i="65037" s="1"/>
  <c r="HR27" i="65037"/>
  <c r="EJ27" i="65037"/>
  <c r="HO31" i="65037"/>
  <c r="HN89" i="65037"/>
  <c r="GX179" i="65037"/>
  <c r="GY150" i="65037"/>
  <c r="HT44" i="65037"/>
  <c r="HU44" i="65037" s="1"/>
  <c r="EJ44" i="65037"/>
  <c r="HR44" i="65037"/>
  <c r="HJ119" i="65037"/>
  <c r="HK90" i="65037"/>
  <c r="HB191" i="65037"/>
  <c r="HC162" i="65037"/>
  <c r="HN107" i="65037"/>
  <c r="HO49" i="65037"/>
  <c r="HB152" i="65037"/>
  <c r="HR38" i="65037"/>
  <c r="HT38" i="65037"/>
  <c r="HU38" i="65037" s="1"/>
  <c r="EJ38" i="65037"/>
  <c r="HK89" i="65037"/>
  <c r="HJ118" i="65037"/>
  <c r="HF162" i="65037"/>
  <c r="GY152" i="65037"/>
  <c r="GX181" i="65037"/>
  <c r="HK84" i="65037"/>
  <c r="HJ113" i="65037"/>
  <c r="HC159" i="65037"/>
  <c r="HB188" i="65037"/>
  <c r="GY161" i="65037"/>
  <c r="GX190" i="65037"/>
  <c r="HK87" i="65037"/>
  <c r="HJ116" i="65037"/>
  <c r="HR41" i="65037"/>
  <c r="HT41" i="65037"/>
  <c r="HU41" i="65037" s="1"/>
  <c r="EJ41" i="65037"/>
  <c r="HN45" i="65037"/>
  <c r="EI45" i="65037"/>
  <c r="HP45" i="65037"/>
  <c r="HQ45" i="65037" s="1"/>
  <c r="HN101" i="65037"/>
  <c r="HO43" i="65037"/>
  <c r="HB192" i="65037"/>
  <c r="HC163" i="65037"/>
  <c r="HB182" i="65037"/>
  <c r="HC153" i="65037"/>
  <c r="HG86" i="65037"/>
  <c r="HF115" i="65037"/>
  <c r="HB174" i="65037"/>
  <c r="HC145" i="65037"/>
  <c r="HG103" i="65037"/>
  <c r="HF132" i="65037"/>
  <c r="HO46" i="65037"/>
  <c r="HN104" i="65037"/>
  <c r="HO29" i="65037"/>
  <c r="HN87" i="65037"/>
  <c r="HT48" i="65037"/>
  <c r="HU48" i="65037" s="1"/>
  <c r="EJ48" i="65037"/>
  <c r="HR48" i="65037"/>
  <c r="GY158" i="65037"/>
  <c r="GX187" i="65037"/>
  <c r="HB150" i="65037"/>
  <c r="HN36" i="65037"/>
  <c r="EI36" i="65037"/>
  <c r="HP36" i="65037"/>
  <c r="HQ36" i="65037" s="1"/>
  <c r="HK97" i="65037"/>
  <c r="HJ126" i="65037"/>
  <c r="HO35" i="65037"/>
  <c r="HN93" i="65037"/>
  <c r="HR37" i="65037"/>
  <c r="HT37" i="65037"/>
  <c r="HU37" i="65037" s="1"/>
  <c r="EJ37" i="65037"/>
  <c r="HK91" i="65037"/>
  <c r="HJ120" i="65037"/>
  <c r="HC154" i="65037"/>
  <c r="HB183" i="65037"/>
  <c r="HF164" i="65037"/>
  <c r="EJ31" i="65037"/>
  <c r="HT31" i="65037"/>
  <c r="HU31" i="65037" s="1"/>
  <c r="HR31" i="65037"/>
  <c r="HR25" i="65037"/>
  <c r="HT25" i="65037"/>
  <c r="HU25" i="65037" s="1"/>
  <c r="EJ25" i="65037"/>
  <c r="HF154" i="65037"/>
  <c r="EJ26" i="65037"/>
  <c r="HT26" i="65037"/>
  <c r="HU26" i="65037" s="1"/>
  <c r="HR26" i="65037"/>
  <c r="HB186" i="65037"/>
  <c r="HC157" i="65037"/>
  <c r="HB189" i="65037"/>
  <c r="HC160" i="65037"/>
  <c r="HO33" i="65037"/>
  <c r="HN91" i="65037"/>
  <c r="GX173" i="65037"/>
  <c r="GY144" i="65037"/>
  <c r="HB144" i="65037"/>
  <c r="HF148" i="65037"/>
  <c r="HF147" i="65037"/>
  <c r="HG94" i="65037"/>
  <c r="HF123" i="65037"/>
  <c r="HK28" i="65037"/>
  <c r="HJ86" i="65037"/>
  <c r="HF151" i="65037"/>
  <c r="EJ43" i="65037"/>
  <c r="HT43" i="65037"/>
  <c r="HU43" i="65037" s="1"/>
  <c r="HR43" i="65037"/>
  <c r="HC148" i="65037"/>
  <c r="HB177" i="65037"/>
  <c r="HB178" i="65037"/>
  <c r="HC149" i="65037"/>
  <c r="HJ92" i="65037"/>
  <c r="HK34" i="65037"/>
  <c r="EJ30" i="65037"/>
  <c r="HT30" i="65037"/>
  <c r="HU30" i="65037" s="1"/>
  <c r="HR30" i="65037"/>
  <c r="HB184" i="65037"/>
  <c r="HC155" i="65037"/>
  <c r="HF145" i="65037"/>
  <c r="HJ128" i="65037"/>
  <c r="HK99" i="65037"/>
  <c r="EJ47" i="65037"/>
  <c r="HT47" i="65037"/>
  <c r="HU47" i="65037" s="1"/>
  <c r="HR47" i="65037"/>
  <c r="EI42" i="65037"/>
  <c r="HN42" i="65037"/>
  <c r="HP42" i="65037"/>
  <c r="HQ42" i="65037" s="1"/>
  <c r="HJ134" i="65037"/>
  <c r="HK105" i="65037"/>
  <c r="HT39" i="65037"/>
  <c r="HU39" i="65037" s="1"/>
  <c r="EJ39" i="65037"/>
  <c r="HR39" i="65037"/>
  <c r="EJ32" i="65037"/>
  <c r="HT32" i="65037"/>
  <c r="HU32" i="65037" s="1"/>
  <c r="HR32" i="65037"/>
  <c r="HN85" i="65037"/>
  <c r="HO27" i="65037"/>
  <c r="HF163" i="65037"/>
  <c r="HB158" i="65037"/>
  <c r="HO26" i="65037"/>
  <c r="HN84" i="65037"/>
  <c r="HR49" i="65037"/>
  <c r="EJ49" i="65037"/>
  <c r="HT49" i="65037"/>
  <c r="HU49" i="65037" s="1"/>
  <c r="HF160" i="65037"/>
  <c r="HB171" i="65037"/>
  <c r="HC142" i="65037"/>
  <c r="HF121" i="65037"/>
  <c r="HG92" i="65037"/>
  <c r="HK104" i="65037"/>
  <c r="HJ133" i="65037"/>
  <c r="HK107" i="65037"/>
  <c r="HJ136" i="65037"/>
  <c r="EJ40" i="65037"/>
  <c r="HT40" i="65037"/>
  <c r="HU40" i="65037" s="1"/>
  <c r="HR40" i="65037"/>
  <c r="HN28" i="65037"/>
  <c r="EI28" i="65037"/>
  <c r="HP28" i="65037"/>
  <c r="HQ28" i="65037" s="1"/>
  <c r="HC141" i="65037"/>
  <c r="HB170" i="65037"/>
  <c r="HP34" i="65037"/>
  <c r="HQ34" i="65037" s="1"/>
  <c r="EI34" i="65037"/>
  <c r="HN34" i="65037"/>
  <c r="HO30" i="65037"/>
  <c r="HN88" i="65037"/>
  <c r="HB185" i="65037"/>
  <c r="HC156" i="65037"/>
  <c r="HF143" i="65037"/>
  <c r="HJ130" i="65037"/>
  <c r="HK101" i="65037"/>
  <c r="EJ29" i="65037"/>
  <c r="HT29" i="65037"/>
  <c r="HU29" i="65037" s="1"/>
  <c r="HR29" i="65037"/>
  <c r="HK85" i="65037"/>
  <c r="HJ114" i="65037"/>
  <c r="HF156" i="65037"/>
  <c r="HN106" i="65037"/>
  <c r="HO48" i="65037"/>
  <c r="HN105" i="65037"/>
  <c r="HO47" i="65037"/>
  <c r="HJ94" i="65037"/>
  <c r="HK36" i="65037"/>
  <c r="HF159" i="65037"/>
  <c r="HF157" i="65037"/>
  <c r="HO37" i="65037"/>
  <c r="HN95" i="65037"/>
  <c r="HK42" i="65037"/>
  <c r="HJ100" i="65037"/>
  <c r="HC151" i="65037"/>
  <c r="HB180" i="65037"/>
  <c r="HF165" i="65037"/>
  <c r="HN97" i="65037"/>
  <c r="HO39" i="65037"/>
  <c r="HN90" i="65037"/>
  <c r="HO32" i="65037"/>
  <c r="HB172" i="65037"/>
  <c r="HC143" i="65037"/>
  <c r="EI22" i="65037" l="1"/>
  <c r="HG165" i="65037"/>
  <c r="HF194" i="65037"/>
  <c r="HK100" i="65037"/>
  <c r="HJ129" i="65037"/>
  <c r="HO105" i="65037"/>
  <c r="HN134" i="65037"/>
  <c r="HR87" i="65037"/>
  <c r="HS29" i="65037"/>
  <c r="HJ159" i="65037"/>
  <c r="HF186" i="65037"/>
  <c r="HG157" i="65037"/>
  <c r="HJ123" i="65037"/>
  <c r="HK94" i="65037"/>
  <c r="HJ143" i="65037"/>
  <c r="HO88" i="65037"/>
  <c r="HN117" i="65037"/>
  <c r="EK40" i="65037"/>
  <c r="HX40" i="65037"/>
  <c r="HY40" i="65037" s="1"/>
  <c r="HV40" i="65037"/>
  <c r="HN113" i="65037"/>
  <c r="HO84" i="65037"/>
  <c r="HN114" i="65037"/>
  <c r="HO85" i="65037"/>
  <c r="HR97" i="65037"/>
  <c r="HS39" i="65037"/>
  <c r="HJ163" i="65037"/>
  <c r="HS30" i="65037"/>
  <c r="HR88" i="65037"/>
  <c r="HJ121" i="65037"/>
  <c r="HK92" i="65037"/>
  <c r="HG151" i="65037"/>
  <c r="HF180" i="65037"/>
  <c r="HF152" i="65037"/>
  <c r="HG148" i="65037"/>
  <c r="HF177" i="65037"/>
  <c r="HX25" i="65037"/>
  <c r="HY25" i="65037" s="1"/>
  <c r="EK25" i="65037"/>
  <c r="HV25" i="65037"/>
  <c r="HV37" i="65037"/>
  <c r="EK37" i="65037"/>
  <c r="HX37" i="65037"/>
  <c r="HY37" i="65037" s="1"/>
  <c r="HJ155" i="65037"/>
  <c r="HN94" i="65037"/>
  <c r="HO36" i="65037"/>
  <c r="HS48" i="65037"/>
  <c r="HR106" i="65037"/>
  <c r="HN116" i="65037"/>
  <c r="HO87" i="65037"/>
  <c r="HF161" i="65037"/>
  <c r="HF144" i="65037"/>
  <c r="EJ45" i="65037"/>
  <c r="HT45" i="65037"/>
  <c r="HU45" i="65037" s="1"/>
  <c r="HR45" i="65037"/>
  <c r="HX41" i="65037"/>
  <c r="HY41" i="65037" s="1"/>
  <c r="HV41" i="65037"/>
  <c r="EK41" i="65037"/>
  <c r="HC152" i="65037"/>
  <c r="HB181" i="65037"/>
  <c r="HO89" i="65037"/>
  <c r="HN118" i="65037"/>
  <c r="HX27" i="65037"/>
  <c r="HY27" i="65037" s="1"/>
  <c r="EK27" i="65037"/>
  <c r="HV27" i="65037"/>
  <c r="EK35" i="65037"/>
  <c r="HX35" i="65037"/>
  <c r="HY35" i="65037" s="1"/>
  <c r="HV35" i="65037"/>
  <c r="HJ153" i="65037"/>
  <c r="HK124" i="65037"/>
  <c r="HO99" i="65037"/>
  <c r="HN128" i="65037"/>
  <c r="EK33" i="65037"/>
  <c r="HX33" i="65037"/>
  <c r="HY33" i="65037" s="1"/>
  <c r="HV33" i="65037"/>
  <c r="HF184" i="65037"/>
  <c r="HG155" i="65037"/>
  <c r="HG153" i="65037"/>
  <c r="HF182" i="65037"/>
  <c r="HG182" i="65037" s="1"/>
  <c r="HO97" i="65037"/>
  <c r="HN126" i="65037"/>
  <c r="HG159" i="65037"/>
  <c r="HF188" i="65037"/>
  <c r="HO106" i="65037"/>
  <c r="HN135" i="65037"/>
  <c r="HG143" i="65037"/>
  <c r="HF172" i="65037"/>
  <c r="HO34" i="65037"/>
  <c r="HN92" i="65037"/>
  <c r="HN86" i="65037"/>
  <c r="HO28" i="65037"/>
  <c r="HJ162" i="65037"/>
  <c r="EK49" i="65037"/>
  <c r="HV49" i="65037"/>
  <c r="HX49" i="65037"/>
  <c r="HY49" i="65037" s="1"/>
  <c r="HG163" i="65037"/>
  <c r="HF192" i="65037"/>
  <c r="HS32" i="65037"/>
  <c r="HR90" i="65037"/>
  <c r="EK30" i="65037"/>
  <c r="HX30" i="65037"/>
  <c r="HY30" i="65037" s="1"/>
  <c r="HV30" i="65037"/>
  <c r="HR101" i="65037"/>
  <c r="HS43" i="65037"/>
  <c r="HS25" i="65037"/>
  <c r="HR83" i="65037"/>
  <c r="HJ149" i="65037"/>
  <c r="HS37" i="65037"/>
  <c r="HR95" i="65037"/>
  <c r="HC150" i="65037"/>
  <c r="HB179" i="65037"/>
  <c r="HN130" i="65037"/>
  <c r="HO101" i="65037"/>
  <c r="HS41" i="65037"/>
  <c r="HR99" i="65037"/>
  <c r="HV44" i="65037"/>
  <c r="HX44" i="65037"/>
  <c r="HY44" i="65037" s="1"/>
  <c r="EK44" i="65037"/>
  <c r="HJ160" i="65037"/>
  <c r="HG142" i="65037"/>
  <c r="HF171" i="65037"/>
  <c r="HJ154" i="65037"/>
  <c r="HS35" i="65037"/>
  <c r="HR93" i="65037"/>
  <c r="HJ141" i="65037"/>
  <c r="HR104" i="65037"/>
  <c r="HS46" i="65037"/>
  <c r="HJ151" i="65037"/>
  <c r="HJ146" i="65037"/>
  <c r="HO98" i="65037"/>
  <c r="HN127" i="65037"/>
  <c r="HJ164" i="65037"/>
  <c r="HS33" i="65037"/>
  <c r="HR91" i="65037"/>
  <c r="EK32" i="65037"/>
  <c r="HX32" i="65037"/>
  <c r="HY32" i="65037" s="1"/>
  <c r="HV32" i="65037"/>
  <c r="HV39" i="65037"/>
  <c r="HX39" i="65037"/>
  <c r="HY39" i="65037" s="1"/>
  <c r="EK39" i="65037"/>
  <c r="EJ42" i="65037"/>
  <c r="HT42" i="65037"/>
  <c r="HU42" i="65037" s="1"/>
  <c r="HR42" i="65037"/>
  <c r="HS47" i="65037"/>
  <c r="HR105" i="65037"/>
  <c r="HJ157" i="65037"/>
  <c r="EK43" i="65037"/>
  <c r="HV43" i="65037"/>
  <c r="HX43" i="65037"/>
  <c r="HY43" i="65037" s="1"/>
  <c r="HJ115" i="65037"/>
  <c r="HK86" i="65037"/>
  <c r="HF176" i="65037"/>
  <c r="HG147" i="65037"/>
  <c r="HB173" i="65037"/>
  <c r="HC144" i="65037"/>
  <c r="HN120" i="65037"/>
  <c r="HO91" i="65037"/>
  <c r="HS26" i="65037"/>
  <c r="HR84" i="65037"/>
  <c r="HF183" i="65037"/>
  <c r="HG154" i="65037"/>
  <c r="HR89" i="65037"/>
  <c r="HS31" i="65037"/>
  <c r="HG164" i="65037"/>
  <c r="HF193" i="65037"/>
  <c r="HN122" i="65037"/>
  <c r="HO93" i="65037"/>
  <c r="EJ36" i="65037"/>
  <c r="HT36" i="65037"/>
  <c r="HU36" i="65037" s="1"/>
  <c r="HR36" i="65037"/>
  <c r="HV48" i="65037"/>
  <c r="EK48" i="65037"/>
  <c r="HX48" i="65037"/>
  <c r="HY48" i="65037" s="1"/>
  <c r="HN133" i="65037"/>
  <c r="HO104" i="65037"/>
  <c r="HN103" i="65037"/>
  <c r="HO45" i="65037"/>
  <c r="HJ142" i="65037"/>
  <c r="HG162" i="65037"/>
  <c r="HF191" i="65037"/>
  <c r="EK38" i="65037"/>
  <c r="HX38" i="65037"/>
  <c r="HY38" i="65037" s="1"/>
  <c r="HV38" i="65037"/>
  <c r="HJ148" i="65037"/>
  <c r="HF158" i="65037"/>
  <c r="HJ156" i="65037"/>
  <c r="HK103" i="65037"/>
  <c r="HJ132" i="65037"/>
  <c r="HC161" i="65037"/>
  <c r="HB190" i="65037"/>
  <c r="HO96" i="65037"/>
  <c r="HN125" i="65037"/>
  <c r="HF175" i="65037"/>
  <c r="HG146" i="65037"/>
  <c r="HO90" i="65037"/>
  <c r="HN119" i="65037"/>
  <c r="HN124" i="65037"/>
  <c r="HO95" i="65037"/>
  <c r="HF185" i="65037"/>
  <c r="HG156" i="65037"/>
  <c r="EK29" i="65037"/>
  <c r="HX29" i="65037"/>
  <c r="HY29" i="65037" s="1"/>
  <c r="HV29" i="65037"/>
  <c r="HT34" i="65037"/>
  <c r="HU34" i="65037" s="1"/>
  <c r="EJ34" i="65037"/>
  <c r="HR34" i="65037"/>
  <c r="HT28" i="65037"/>
  <c r="HU28" i="65037" s="1"/>
  <c r="EJ28" i="65037"/>
  <c r="HR28" i="65037"/>
  <c r="HS40" i="65037"/>
  <c r="HR98" i="65037"/>
  <c r="HJ165" i="65037"/>
  <c r="HF150" i="65037"/>
  <c r="HF189" i="65037"/>
  <c r="HG160" i="65037"/>
  <c r="HS49" i="65037"/>
  <c r="HR107" i="65037"/>
  <c r="HB187" i="65037"/>
  <c r="HC158" i="65037"/>
  <c r="HN100" i="65037"/>
  <c r="HO42" i="65037"/>
  <c r="HV47" i="65037"/>
  <c r="HX47" i="65037"/>
  <c r="HY47" i="65037" s="1"/>
  <c r="EK47" i="65037"/>
  <c r="HG145" i="65037"/>
  <c r="HF174" i="65037"/>
  <c r="EK26" i="65037"/>
  <c r="HX26" i="65037"/>
  <c r="HY26" i="65037" s="1"/>
  <c r="HV26" i="65037"/>
  <c r="EK31" i="65037"/>
  <c r="HX31" i="65037"/>
  <c r="HY31" i="65037" s="1"/>
  <c r="HV31" i="65037"/>
  <c r="HJ145" i="65037"/>
  <c r="HJ147" i="65037"/>
  <c r="HR96" i="65037"/>
  <c r="HS38" i="65037"/>
  <c r="HN136" i="65037"/>
  <c r="HO107" i="65037"/>
  <c r="HR102" i="65037"/>
  <c r="HS44" i="65037"/>
  <c r="HS27" i="65037"/>
  <c r="HR85" i="65037"/>
  <c r="HF170" i="65037"/>
  <c r="HG141" i="65037"/>
  <c r="HG149" i="65037"/>
  <c r="HF178" i="65037"/>
  <c r="HX46" i="65037"/>
  <c r="HY46" i="65037" s="1"/>
  <c r="EK46" i="65037"/>
  <c r="HV46" i="65037"/>
  <c r="HN112" i="65037"/>
  <c r="HO83" i="65037"/>
  <c r="HN131" i="65037"/>
  <c r="HO102" i="65037"/>
  <c r="EJ22" i="65037" l="1"/>
  <c r="HR86" i="65037"/>
  <c r="HS28" i="65037"/>
  <c r="HO124" i="65037"/>
  <c r="HN153" i="65037"/>
  <c r="IB38" i="65037"/>
  <c r="IC38" i="65037" s="1"/>
  <c r="HZ38" i="65037"/>
  <c r="EL38" i="65037"/>
  <c r="HK142" i="65037"/>
  <c r="HJ171" i="65037"/>
  <c r="HN162" i="65037"/>
  <c r="HX36" i="65037"/>
  <c r="HY36" i="65037" s="1"/>
  <c r="EK36" i="65037"/>
  <c r="HV36" i="65037"/>
  <c r="HZ32" i="65037"/>
  <c r="IB32" i="65037"/>
  <c r="IC32" i="65037" s="1"/>
  <c r="EL32" i="65037"/>
  <c r="HN156" i="65037"/>
  <c r="HJ180" i="65037"/>
  <c r="HK151" i="65037"/>
  <c r="HJ170" i="65037"/>
  <c r="HK141" i="65037"/>
  <c r="HK154" i="65037"/>
  <c r="HJ183" i="65037"/>
  <c r="HK160" i="65037"/>
  <c r="HJ189" i="65037"/>
  <c r="HV102" i="65037"/>
  <c r="HW44" i="65037"/>
  <c r="HN159" i="65037"/>
  <c r="HS95" i="65037"/>
  <c r="HR124" i="65037"/>
  <c r="HR112" i="65037"/>
  <c r="HS83" i="65037"/>
  <c r="HW30" i="65037"/>
  <c r="HV88" i="65037"/>
  <c r="HK162" i="65037"/>
  <c r="HJ191" i="65037"/>
  <c r="HN164" i="65037"/>
  <c r="HN155" i="65037"/>
  <c r="IB33" i="65037"/>
  <c r="IC33" i="65037" s="1"/>
  <c r="EL33" i="65037"/>
  <c r="HZ33" i="65037"/>
  <c r="EL35" i="65037"/>
  <c r="HZ35" i="65037"/>
  <c r="IB35" i="65037"/>
  <c r="IC35" i="65037" s="1"/>
  <c r="HZ27" i="65037"/>
  <c r="IB27" i="65037"/>
  <c r="IC27" i="65037" s="1"/>
  <c r="EL27" i="65037"/>
  <c r="HW41" i="65037"/>
  <c r="HV99" i="65037"/>
  <c r="HV83" i="65037"/>
  <c r="HW25" i="65037"/>
  <c r="HF181" i="65037"/>
  <c r="HG152" i="65037"/>
  <c r="HR126" i="65037"/>
  <c r="HS97" i="65037"/>
  <c r="HV98" i="65037"/>
  <c r="HW40" i="65037"/>
  <c r="HN163" i="65037"/>
  <c r="IB46" i="65037"/>
  <c r="IC46" i="65037" s="1"/>
  <c r="EL46" i="65037"/>
  <c r="HZ46" i="65037"/>
  <c r="HR131" i="65037"/>
  <c r="HS102" i="65037"/>
  <c r="HR125" i="65037"/>
  <c r="HS96" i="65037"/>
  <c r="HV89" i="65037"/>
  <c r="HW31" i="65037"/>
  <c r="HV84" i="65037"/>
  <c r="HW26" i="65037"/>
  <c r="HW47" i="65037"/>
  <c r="HV105" i="65037"/>
  <c r="EK34" i="65037"/>
  <c r="HX34" i="65037"/>
  <c r="HY34" i="65037" s="1"/>
  <c r="HV34" i="65037"/>
  <c r="HN148" i="65037"/>
  <c r="HK156" i="65037"/>
  <c r="HJ185" i="65037"/>
  <c r="EL48" i="65037"/>
  <c r="HZ48" i="65037"/>
  <c r="IB48" i="65037"/>
  <c r="IC48" i="65037" s="1"/>
  <c r="HN149" i="65037"/>
  <c r="HV101" i="65037"/>
  <c r="HW43" i="65037"/>
  <c r="HR100" i="65037"/>
  <c r="HS42" i="65037"/>
  <c r="EL39" i="65037"/>
  <c r="IB39" i="65037"/>
  <c r="IC39" i="65037" s="1"/>
  <c r="HZ39" i="65037"/>
  <c r="HS99" i="65037"/>
  <c r="HR128" i="65037"/>
  <c r="EL30" i="65037"/>
  <c r="IB30" i="65037"/>
  <c r="IC30" i="65037" s="1"/>
  <c r="HZ30" i="65037"/>
  <c r="HR119" i="65037"/>
  <c r="HS90" i="65037"/>
  <c r="IB49" i="65037"/>
  <c r="IC49" i="65037" s="1"/>
  <c r="HZ49" i="65037"/>
  <c r="EL49" i="65037"/>
  <c r="HN147" i="65037"/>
  <c r="IB41" i="65037"/>
  <c r="IC41" i="65037" s="1"/>
  <c r="EL41" i="65037"/>
  <c r="HZ41" i="65037"/>
  <c r="HF173" i="65037"/>
  <c r="HG144" i="65037"/>
  <c r="IB37" i="65037"/>
  <c r="IC37" i="65037" s="1"/>
  <c r="HZ37" i="65037"/>
  <c r="EL37" i="65037"/>
  <c r="HZ40" i="65037"/>
  <c r="IB40" i="65037"/>
  <c r="IC40" i="65037" s="1"/>
  <c r="EL40" i="65037"/>
  <c r="HJ152" i="65037"/>
  <c r="HK123" i="65037"/>
  <c r="HJ188" i="65037"/>
  <c r="HK159" i="65037"/>
  <c r="HJ158" i="65037"/>
  <c r="HN160" i="65037"/>
  <c r="EL47" i="65037"/>
  <c r="IB47" i="65037"/>
  <c r="IC47" i="65037" s="1"/>
  <c r="HZ47" i="65037"/>
  <c r="HK165" i="65037"/>
  <c r="HJ194" i="65037"/>
  <c r="IB43" i="65037"/>
  <c r="IC43" i="65037" s="1"/>
  <c r="EL43" i="65037"/>
  <c r="HZ43" i="65037"/>
  <c r="HN141" i="65037"/>
  <c r="HS85" i="65037"/>
  <c r="HR114" i="65037"/>
  <c r="HJ174" i="65037"/>
  <c r="HK145" i="65037"/>
  <c r="EL31" i="65037"/>
  <c r="HZ31" i="65037"/>
  <c r="IB31" i="65037"/>
  <c r="IC31" i="65037" s="1"/>
  <c r="IB26" i="65037"/>
  <c r="IC26" i="65037" s="1"/>
  <c r="EL26" i="65037"/>
  <c r="HZ26" i="65037"/>
  <c r="HS107" i="65037"/>
  <c r="HR136" i="65037"/>
  <c r="HS98" i="65037"/>
  <c r="HR127" i="65037"/>
  <c r="EK28" i="65037"/>
  <c r="HX28" i="65037"/>
  <c r="HY28" i="65037" s="1"/>
  <c r="HV28" i="65037"/>
  <c r="HW29" i="65037"/>
  <c r="HV87" i="65037"/>
  <c r="HJ161" i="65037"/>
  <c r="HG158" i="65037"/>
  <c r="HF187" i="65037"/>
  <c r="HK148" i="65037"/>
  <c r="HJ177" i="65037"/>
  <c r="HN132" i="65037"/>
  <c r="HO103" i="65037"/>
  <c r="HR113" i="65037"/>
  <c r="HS84" i="65037"/>
  <c r="HJ186" i="65037"/>
  <c r="HK157" i="65037"/>
  <c r="HX42" i="65037"/>
  <c r="HY42" i="65037" s="1"/>
  <c r="EK42" i="65037"/>
  <c r="HV42" i="65037"/>
  <c r="HW39" i="65037"/>
  <c r="HV97" i="65037"/>
  <c r="HR120" i="65037"/>
  <c r="HS91" i="65037"/>
  <c r="HR133" i="65037"/>
  <c r="HS104" i="65037"/>
  <c r="HS93" i="65037"/>
  <c r="HR122" i="65037"/>
  <c r="HS101" i="65037"/>
  <c r="HR130" i="65037"/>
  <c r="HW49" i="65037"/>
  <c r="HV107" i="65037"/>
  <c r="HN115" i="65037"/>
  <c r="HO86" i="65037"/>
  <c r="HN157" i="65037"/>
  <c r="HJ182" i="65037"/>
  <c r="HK182" i="65037" s="1"/>
  <c r="HK153" i="65037"/>
  <c r="HW27" i="65037"/>
  <c r="HV85" i="65037"/>
  <c r="HR103" i="65037"/>
  <c r="HS45" i="65037"/>
  <c r="HN145" i="65037"/>
  <c r="HN123" i="65037"/>
  <c r="HO94" i="65037"/>
  <c r="EL25" i="65037"/>
  <c r="IB25" i="65037"/>
  <c r="IC25" i="65037" s="1"/>
  <c r="HZ25" i="65037"/>
  <c r="HJ150" i="65037"/>
  <c r="HJ192" i="65037"/>
  <c r="HK163" i="65037"/>
  <c r="HN143" i="65037"/>
  <c r="HK143" i="65037"/>
  <c r="HJ172" i="65037"/>
  <c r="HW46" i="65037"/>
  <c r="HV104" i="65037"/>
  <c r="HN165" i="65037"/>
  <c r="HJ176" i="65037"/>
  <c r="HK147" i="65037"/>
  <c r="HN129" i="65037"/>
  <c r="HO100" i="65037"/>
  <c r="HG150" i="65037"/>
  <c r="HF179" i="65037"/>
  <c r="HR92" i="65037"/>
  <c r="HS34" i="65037"/>
  <c r="EL29" i="65037"/>
  <c r="IB29" i="65037"/>
  <c r="IC29" i="65037" s="1"/>
  <c r="HZ29" i="65037"/>
  <c r="HN154" i="65037"/>
  <c r="HW38" i="65037"/>
  <c r="HV96" i="65037"/>
  <c r="HW48" i="65037"/>
  <c r="HV106" i="65037"/>
  <c r="HS36" i="65037"/>
  <c r="HR94" i="65037"/>
  <c r="HN151" i="65037"/>
  <c r="HO122" i="65037"/>
  <c r="HS89" i="65037"/>
  <c r="HR118" i="65037"/>
  <c r="HJ144" i="65037"/>
  <c r="HR134" i="65037"/>
  <c r="HS105" i="65037"/>
  <c r="HV90" i="65037"/>
  <c r="HW32" i="65037"/>
  <c r="HJ193" i="65037"/>
  <c r="HK164" i="65037"/>
  <c r="HK146" i="65037"/>
  <c r="HJ175" i="65037"/>
  <c r="HZ44" i="65037"/>
  <c r="EL44" i="65037"/>
  <c r="IB44" i="65037"/>
  <c r="IC44" i="65037" s="1"/>
  <c r="HJ178" i="65037"/>
  <c r="HK149" i="65037"/>
  <c r="HN121" i="65037"/>
  <c r="HO92" i="65037"/>
  <c r="HW33" i="65037"/>
  <c r="HV91" i="65037"/>
  <c r="HW35" i="65037"/>
  <c r="HV93" i="65037"/>
  <c r="HX45" i="65037"/>
  <c r="HY45" i="65037" s="1"/>
  <c r="HV45" i="65037"/>
  <c r="EK45" i="65037"/>
  <c r="HF190" i="65037"/>
  <c r="HG161" i="65037"/>
  <c r="HS106" i="65037"/>
  <c r="HR135" i="65037"/>
  <c r="HK155" i="65037"/>
  <c r="HJ184" i="65037"/>
  <c r="HW37" i="65037"/>
  <c r="HV95" i="65037"/>
  <c r="HS88" i="65037"/>
  <c r="HR117" i="65037"/>
  <c r="HN142" i="65037"/>
  <c r="HN146" i="65037"/>
  <c r="HR116" i="65037"/>
  <c r="HS87" i="65037"/>
  <c r="EK22" i="65037" l="1"/>
  <c r="HR145" i="65037"/>
  <c r="HV103" i="65037"/>
  <c r="HW45" i="65037"/>
  <c r="HN150" i="65037"/>
  <c r="HV125" i="65037"/>
  <c r="HW96" i="65037"/>
  <c r="HO165" i="65037"/>
  <c r="HN194" i="65037"/>
  <c r="HZ83" i="65037"/>
  <c r="IA25" i="65037"/>
  <c r="HO123" i="65037"/>
  <c r="HN152" i="65037"/>
  <c r="HR132" i="65037"/>
  <c r="HS103" i="65037"/>
  <c r="HO157" i="65037"/>
  <c r="HN186" i="65037"/>
  <c r="HV100" i="65037"/>
  <c r="HW42" i="65037"/>
  <c r="HR156" i="65037"/>
  <c r="HS127" i="65037"/>
  <c r="ID31" i="65037"/>
  <c r="IF31" i="65037"/>
  <c r="IG31" i="65037" s="1"/>
  <c r="EM31" i="65037"/>
  <c r="HZ101" i="65037"/>
  <c r="IA43" i="65037"/>
  <c r="IA47" i="65037"/>
  <c r="HZ105" i="65037"/>
  <c r="HN189" i="65037"/>
  <c r="HO160" i="65037"/>
  <c r="IA37" i="65037"/>
  <c r="HZ95" i="65037"/>
  <c r="EM49" i="65037"/>
  <c r="ID49" i="65037"/>
  <c r="IF49" i="65037"/>
  <c r="IG49" i="65037" s="1"/>
  <c r="ID30" i="65037"/>
  <c r="IF30" i="65037"/>
  <c r="IG30" i="65037" s="1"/>
  <c r="EM30" i="65037"/>
  <c r="IA39" i="65037"/>
  <c r="HZ97" i="65037"/>
  <c r="HR129" i="65037"/>
  <c r="HS100" i="65037"/>
  <c r="ID48" i="65037"/>
  <c r="EM48" i="65037"/>
  <c r="IF48" i="65037"/>
  <c r="IG48" i="65037" s="1"/>
  <c r="HV134" i="65037"/>
  <c r="HW105" i="65037"/>
  <c r="EM46" i="65037"/>
  <c r="IF46" i="65037"/>
  <c r="IG46" i="65037" s="1"/>
  <c r="ID46" i="65037"/>
  <c r="HV128" i="65037"/>
  <c r="HW99" i="65037"/>
  <c r="IA27" i="65037"/>
  <c r="HZ85" i="65037"/>
  <c r="HZ91" i="65037"/>
  <c r="IA33" i="65037"/>
  <c r="HV131" i="65037"/>
  <c r="HW102" i="65037"/>
  <c r="HR146" i="65037"/>
  <c r="IB45" i="65037"/>
  <c r="IC45" i="65037" s="1"/>
  <c r="HZ45" i="65037"/>
  <c r="EL45" i="65037"/>
  <c r="HV120" i="65037"/>
  <c r="HW91" i="65037"/>
  <c r="ID44" i="65037"/>
  <c r="EM44" i="65037"/>
  <c r="IF44" i="65037"/>
  <c r="IG44" i="65037" s="1"/>
  <c r="HV135" i="65037"/>
  <c r="HW106" i="65037"/>
  <c r="EM25" i="65037"/>
  <c r="ID25" i="65037"/>
  <c r="IF25" i="65037"/>
  <c r="IG25" i="65037" s="1"/>
  <c r="HW85" i="65037"/>
  <c r="HV114" i="65037"/>
  <c r="HR159" i="65037"/>
  <c r="HR162" i="65037"/>
  <c r="HN161" i="65037"/>
  <c r="HK161" i="65037"/>
  <c r="HJ190" i="65037"/>
  <c r="HV86" i="65037"/>
  <c r="HW28" i="65037"/>
  <c r="HZ84" i="65037"/>
  <c r="IA26" i="65037"/>
  <c r="IA31" i="65037"/>
  <c r="HZ89" i="65037"/>
  <c r="HR143" i="65037"/>
  <c r="ID47" i="65037"/>
  <c r="IF47" i="65037"/>
  <c r="IG47" i="65037" s="1"/>
  <c r="EM47" i="65037"/>
  <c r="EM40" i="65037"/>
  <c r="ID40" i="65037"/>
  <c r="IF40" i="65037"/>
  <c r="IG40" i="65037" s="1"/>
  <c r="EM37" i="65037"/>
  <c r="IF37" i="65037"/>
  <c r="IG37" i="65037" s="1"/>
  <c r="ID37" i="65037"/>
  <c r="IA41" i="65037"/>
  <c r="HZ99" i="65037"/>
  <c r="HN176" i="65037"/>
  <c r="HO147" i="65037"/>
  <c r="ID39" i="65037"/>
  <c r="EM39" i="65037"/>
  <c r="IF39" i="65037"/>
  <c r="IG39" i="65037" s="1"/>
  <c r="HV130" i="65037"/>
  <c r="HW101" i="65037"/>
  <c r="HZ106" i="65037"/>
  <c r="IA48" i="65037"/>
  <c r="HV92" i="65037"/>
  <c r="HW34" i="65037"/>
  <c r="HW89" i="65037"/>
  <c r="HV118" i="65037"/>
  <c r="HR160" i="65037"/>
  <c r="HV127" i="65037"/>
  <c r="HW98" i="65037"/>
  <c r="EM35" i="65037"/>
  <c r="IF35" i="65037"/>
  <c r="IG35" i="65037" s="1"/>
  <c r="ID35" i="65037"/>
  <c r="HO164" i="65037"/>
  <c r="HN193" i="65037"/>
  <c r="HO156" i="65037"/>
  <c r="HN185" i="65037"/>
  <c r="HW36" i="65037"/>
  <c r="HV94" i="65037"/>
  <c r="HN191" i="65037"/>
  <c r="HO162" i="65037"/>
  <c r="IA38" i="65037"/>
  <c r="HZ96" i="65037"/>
  <c r="HN171" i="65037"/>
  <c r="HO142" i="65037"/>
  <c r="HR163" i="65037"/>
  <c r="HO146" i="65037"/>
  <c r="HN175" i="65037"/>
  <c r="HV122" i="65037"/>
  <c r="HW93" i="65037"/>
  <c r="HV119" i="65037"/>
  <c r="HW90" i="65037"/>
  <c r="HK144" i="65037"/>
  <c r="HJ173" i="65037"/>
  <c r="HO151" i="65037"/>
  <c r="HN180" i="65037"/>
  <c r="HO180" i="65037" s="1"/>
  <c r="IA29" i="65037"/>
  <c r="HZ87" i="65037"/>
  <c r="HR121" i="65037"/>
  <c r="HS92" i="65037"/>
  <c r="HN158" i="65037"/>
  <c r="HV133" i="65037"/>
  <c r="HW104" i="65037"/>
  <c r="HJ179" i="65037"/>
  <c r="HK150" i="65037"/>
  <c r="HN174" i="65037"/>
  <c r="HO145" i="65037"/>
  <c r="HN144" i="65037"/>
  <c r="HS122" i="65037"/>
  <c r="HR151" i="65037"/>
  <c r="HW97" i="65037"/>
  <c r="HV126" i="65037"/>
  <c r="EL42" i="65037"/>
  <c r="IB42" i="65037"/>
  <c r="IC42" i="65037" s="1"/>
  <c r="HZ42" i="65037"/>
  <c r="HR142" i="65037"/>
  <c r="EL28" i="65037"/>
  <c r="HZ28" i="65037"/>
  <c r="IB28" i="65037"/>
  <c r="IC28" i="65037" s="1"/>
  <c r="HR165" i="65037"/>
  <c r="ID43" i="65037"/>
  <c r="IF43" i="65037"/>
  <c r="IG43" i="65037" s="1"/>
  <c r="EM43" i="65037"/>
  <c r="HJ187" i="65037"/>
  <c r="HK158" i="65037"/>
  <c r="HZ98" i="65037"/>
  <c r="IA40" i="65037"/>
  <c r="HR148" i="65037"/>
  <c r="HR157" i="65037"/>
  <c r="EL34" i="65037"/>
  <c r="IB34" i="65037"/>
  <c r="IC34" i="65037" s="1"/>
  <c r="HZ34" i="65037"/>
  <c r="HZ104" i="65037"/>
  <c r="IA46" i="65037"/>
  <c r="HO163" i="65037"/>
  <c r="HN192" i="65037"/>
  <c r="IA35" i="65037"/>
  <c r="HZ93" i="65037"/>
  <c r="ID33" i="65037"/>
  <c r="IF33" i="65037"/>
  <c r="IG33" i="65037" s="1"/>
  <c r="EM33" i="65037"/>
  <c r="HR141" i="65037"/>
  <c r="HN188" i="65037"/>
  <c r="HO159" i="65037"/>
  <c r="IF32" i="65037"/>
  <c r="IG32" i="65037" s="1"/>
  <c r="ID32" i="65037"/>
  <c r="EM32" i="65037"/>
  <c r="ID38" i="65037"/>
  <c r="IF38" i="65037"/>
  <c r="IG38" i="65037" s="1"/>
  <c r="EM38" i="65037"/>
  <c r="HS86" i="65037"/>
  <c r="HR115" i="65037"/>
  <c r="HW95" i="65037"/>
  <c r="HV124" i="65037"/>
  <c r="HR164" i="65037"/>
  <c r="IA44" i="65037"/>
  <c r="HZ102" i="65037"/>
  <c r="HR147" i="65037"/>
  <c r="HS94" i="65037"/>
  <c r="HR123" i="65037"/>
  <c r="HO154" i="65037"/>
  <c r="HN183" i="65037"/>
  <c r="EM29" i="65037"/>
  <c r="IF29" i="65037"/>
  <c r="IG29" i="65037" s="1"/>
  <c r="ID29" i="65037"/>
  <c r="HN172" i="65037"/>
  <c r="HO143" i="65037"/>
  <c r="HV136" i="65037"/>
  <c r="HW107" i="65037"/>
  <c r="HR149" i="65037"/>
  <c r="HV116" i="65037"/>
  <c r="HW87" i="65037"/>
  <c r="ID26" i="65037"/>
  <c r="EM26" i="65037"/>
  <c r="IF26" i="65037"/>
  <c r="IG26" i="65037" s="1"/>
  <c r="HN170" i="65037"/>
  <c r="HO141" i="65037"/>
  <c r="HK152" i="65037"/>
  <c r="HJ181" i="65037"/>
  <c r="HK181" i="65037" s="1"/>
  <c r="IF41" i="65037"/>
  <c r="IG41" i="65037" s="1"/>
  <c r="EM41" i="65037"/>
  <c r="ID41" i="65037"/>
  <c r="HZ107" i="65037"/>
  <c r="IA49" i="65037"/>
  <c r="IA30" i="65037"/>
  <c r="HZ88" i="65037"/>
  <c r="HO149" i="65037"/>
  <c r="HN178" i="65037"/>
  <c r="HN177" i="65037"/>
  <c r="HO148" i="65037"/>
  <c r="HV113" i="65037"/>
  <c r="HW84" i="65037"/>
  <c r="HR154" i="65037"/>
  <c r="HR155" i="65037"/>
  <c r="HV112" i="65037"/>
  <c r="HW83" i="65037"/>
  <c r="EM27" i="65037"/>
  <c r="IF27" i="65037"/>
  <c r="IG27" i="65037" s="1"/>
  <c r="ID27" i="65037"/>
  <c r="HO155" i="65037"/>
  <c r="HN184" i="65037"/>
  <c r="HW88" i="65037"/>
  <c r="HV117" i="65037"/>
  <c r="HR153" i="65037"/>
  <c r="HS124" i="65037"/>
  <c r="HZ90" i="65037"/>
  <c r="IA32" i="65037"/>
  <c r="HZ36" i="65037"/>
  <c r="IB36" i="65037"/>
  <c r="IC36" i="65037" s="1"/>
  <c r="EL36" i="65037"/>
  <c r="HN182" i="65037"/>
  <c r="HO182" i="65037" s="1"/>
  <c r="HO153" i="65037"/>
  <c r="EL22" i="65037" l="1"/>
  <c r="IE26" i="65037"/>
  <c r="ID84" i="65037"/>
  <c r="HR176" i="65037"/>
  <c r="HS147" i="65037"/>
  <c r="EN38" i="65037"/>
  <c r="IJ38" i="65037"/>
  <c r="IK38" i="65037" s="1"/>
  <c r="IH38" i="65037"/>
  <c r="IH32" i="65037"/>
  <c r="IJ32" i="65037"/>
  <c r="IK32" i="65037" s="1"/>
  <c r="EN32" i="65037"/>
  <c r="ID101" i="65037"/>
  <c r="IE43" i="65037"/>
  <c r="IA28" i="65037"/>
  <c r="HZ86" i="65037"/>
  <c r="EM42" i="65037"/>
  <c r="ID42" i="65037"/>
  <c r="IF42" i="65037"/>
  <c r="IG42" i="65037" s="1"/>
  <c r="HS151" i="65037"/>
  <c r="HR180" i="65037"/>
  <c r="HS180" i="65037" s="1"/>
  <c r="HS163" i="65037"/>
  <c r="HR192" i="65037"/>
  <c r="HS160" i="65037"/>
  <c r="HR189" i="65037"/>
  <c r="HV159" i="65037"/>
  <c r="ID95" i="65037"/>
  <c r="IE37" i="65037"/>
  <c r="IE40" i="65037"/>
  <c r="ID98" i="65037"/>
  <c r="ID105" i="65037"/>
  <c r="IE47" i="65037"/>
  <c r="HW86" i="65037"/>
  <c r="HV115" i="65037"/>
  <c r="HR191" i="65037"/>
  <c r="HS162" i="65037"/>
  <c r="ID102" i="65037"/>
  <c r="IE44" i="65037"/>
  <c r="IA45" i="65037"/>
  <c r="HZ103" i="65037"/>
  <c r="ID104" i="65037"/>
  <c r="IE46" i="65037"/>
  <c r="HV163" i="65037"/>
  <c r="IH49" i="65037"/>
  <c r="IJ49" i="65037"/>
  <c r="IK49" i="65037" s="1"/>
  <c r="EN49" i="65037"/>
  <c r="HZ134" i="65037"/>
  <c r="IA105" i="65037"/>
  <c r="ID89" i="65037"/>
  <c r="IE31" i="65037"/>
  <c r="HR161" i="65037"/>
  <c r="HZ112" i="65037"/>
  <c r="IA83" i="65037"/>
  <c r="IA36" i="65037"/>
  <c r="HZ94" i="65037"/>
  <c r="HS153" i="65037"/>
  <c r="HR182" i="65037"/>
  <c r="HS182" i="65037" s="1"/>
  <c r="HR183" i="65037"/>
  <c r="HS154" i="65037"/>
  <c r="EN41" i="65037"/>
  <c r="IJ41" i="65037"/>
  <c r="IK41" i="65037" s="1"/>
  <c r="IH41" i="65037"/>
  <c r="ID87" i="65037"/>
  <c r="IE29" i="65037"/>
  <c r="HZ131" i="65037"/>
  <c r="IA102" i="65037"/>
  <c r="HR193" i="65037"/>
  <c r="HS164" i="65037"/>
  <c r="HR144" i="65037"/>
  <c r="IE38" i="65037"/>
  <c r="ID96" i="65037"/>
  <c r="EN33" i="65037"/>
  <c r="IJ33" i="65037"/>
  <c r="IK33" i="65037" s="1"/>
  <c r="IH33" i="65037"/>
  <c r="HZ133" i="65037"/>
  <c r="IA104" i="65037"/>
  <c r="HR177" i="65037"/>
  <c r="HS148" i="65037"/>
  <c r="HS165" i="65037"/>
  <c r="HR194" i="65037"/>
  <c r="HV162" i="65037"/>
  <c r="HR150" i="65037"/>
  <c r="HS121" i="65037"/>
  <c r="HV148" i="65037"/>
  <c r="HW92" i="65037"/>
  <c r="HV121" i="65037"/>
  <c r="IH39" i="65037"/>
  <c r="IJ39" i="65037"/>
  <c r="IK39" i="65037" s="1"/>
  <c r="EN39" i="65037"/>
  <c r="EN37" i="65037"/>
  <c r="IJ37" i="65037"/>
  <c r="IK37" i="65037" s="1"/>
  <c r="IH37" i="65037"/>
  <c r="HR172" i="65037"/>
  <c r="HS143" i="65037"/>
  <c r="HS159" i="65037"/>
  <c r="HR188" i="65037"/>
  <c r="IH25" i="65037"/>
  <c r="IJ25" i="65037"/>
  <c r="IK25" i="65037" s="1"/>
  <c r="EN25" i="65037"/>
  <c r="HV164" i="65037"/>
  <c r="ID45" i="65037"/>
  <c r="IF45" i="65037"/>
  <c r="IG45" i="65037" s="1"/>
  <c r="EM45" i="65037"/>
  <c r="IJ46" i="65037"/>
  <c r="IK46" i="65037" s="1"/>
  <c r="EN46" i="65037"/>
  <c r="IH46" i="65037"/>
  <c r="EN48" i="65037"/>
  <c r="IJ48" i="65037"/>
  <c r="IK48" i="65037" s="1"/>
  <c r="IH48" i="65037"/>
  <c r="IE49" i="65037"/>
  <c r="ID107" i="65037"/>
  <c r="HO152" i="65037"/>
  <c r="HN181" i="65037"/>
  <c r="HO181" i="65037" s="1"/>
  <c r="HV154" i="65037"/>
  <c r="HW103" i="65037"/>
  <c r="HV132" i="65037"/>
  <c r="EM36" i="65037"/>
  <c r="ID36" i="65037"/>
  <c r="IF36" i="65037"/>
  <c r="IG36" i="65037" s="1"/>
  <c r="HV142" i="65037"/>
  <c r="HV146" i="65037"/>
  <c r="ID85" i="65037"/>
  <c r="IE27" i="65037"/>
  <c r="HV141" i="65037"/>
  <c r="IA107" i="65037"/>
  <c r="HZ136" i="65037"/>
  <c r="IJ26" i="65037"/>
  <c r="IK26" i="65037" s="1"/>
  <c r="EN26" i="65037"/>
  <c r="IH26" i="65037"/>
  <c r="HV145" i="65037"/>
  <c r="EN29" i="65037"/>
  <c r="IH29" i="65037"/>
  <c r="IJ29" i="65037"/>
  <c r="IK29" i="65037" s="1"/>
  <c r="HR152" i="65037"/>
  <c r="HS123" i="65037"/>
  <c r="HV153" i="65037"/>
  <c r="HW124" i="65037"/>
  <c r="HS141" i="65037"/>
  <c r="HR170" i="65037"/>
  <c r="IE33" i="65037"/>
  <c r="ID91" i="65037"/>
  <c r="HZ92" i="65037"/>
  <c r="IA34" i="65037"/>
  <c r="HS157" i="65037"/>
  <c r="HR186" i="65037"/>
  <c r="HV155" i="65037"/>
  <c r="HN173" i="65037"/>
  <c r="HO144" i="65037"/>
  <c r="HZ116" i="65037"/>
  <c r="IA87" i="65037"/>
  <c r="HZ125" i="65037"/>
  <c r="IA96" i="65037"/>
  <c r="HW94" i="65037"/>
  <c r="HV123" i="65037"/>
  <c r="IE35" i="65037"/>
  <c r="ID93" i="65037"/>
  <c r="HV147" i="65037"/>
  <c r="HZ135" i="65037"/>
  <c r="IA106" i="65037"/>
  <c r="HZ128" i="65037"/>
  <c r="IA99" i="65037"/>
  <c r="HZ113" i="65037"/>
  <c r="IA84" i="65037"/>
  <c r="HN190" i="65037"/>
  <c r="HO161" i="65037"/>
  <c r="IE25" i="65037"/>
  <c r="ID83" i="65037"/>
  <c r="IJ44" i="65037"/>
  <c r="IK44" i="65037" s="1"/>
  <c r="EN44" i="65037"/>
  <c r="IH44" i="65037"/>
  <c r="HW120" i="65037"/>
  <c r="HV149" i="65037"/>
  <c r="HZ120" i="65037"/>
  <c r="IA91" i="65037"/>
  <c r="HV157" i="65037"/>
  <c r="HW128" i="65037"/>
  <c r="HR158" i="65037"/>
  <c r="EN30" i="65037"/>
  <c r="IH30" i="65037"/>
  <c r="IJ30" i="65037"/>
  <c r="IK30" i="65037" s="1"/>
  <c r="IA95" i="65037"/>
  <c r="HZ124" i="65037"/>
  <c r="HZ130" i="65037"/>
  <c r="IA101" i="65037"/>
  <c r="HR185" i="65037"/>
  <c r="HS185" i="65037" s="1"/>
  <c r="HS156" i="65037"/>
  <c r="HN179" i="65037"/>
  <c r="HO150" i="65037"/>
  <c r="HS145" i="65037"/>
  <c r="HR174" i="65037"/>
  <c r="HZ119" i="65037"/>
  <c r="IA90" i="65037"/>
  <c r="EN27" i="65037"/>
  <c r="IJ27" i="65037"/>
  <c r="IK27" i="65037" s="1"/>
  <c r="IH27" i="65037"/>
  <c r="HS155" i="65037"/>
  <c r="HR184" i="65037"/>
  <c r="HZ117" i="65037"/>
  <c r="IA88" i="65037"/>
  <c r="ID99" i="65037"/>
  <c r="IE41" i="65037"/>
  <c r="HS149" i="65037"/>
  <c r="HR178" i="65037"/>
  <c r="HV165" i="65037"/>
  <c r="IE32" i="65037"/>
  <c r="ID90" i="65037"/>
  <c r="IA93" i="65037"/>
  <c r="HZ122" i="65037"/>
  <c r="ID34" i="65037"/>
  <c r="IF34" i="65037"/>
  <c r="IG34" i="65037" s="1"/>
  <c r="EM34" i="65037"/>
  <c r="HZ127" i="65037"/>
  <c r="IA98" i="65037"/>
  <c r="EN43" i="65037"/>
  <c r="IH43" i="65037"/>
  <c r="IJ43" i="65037"/>
  <c r="IK43" i="65037" s="1"/>
  <c r="ID28" i="65037"/>
  <c r="EM28" i="65037"/>
  <c r="IF28" i="65037"/>
  <c r="IG28" i="65037" s="1"/>
  <c r="HR171" i="65037"/>
  <c r="HS142" i="65037"/>
  <c r="HZ100" i="65037"/>
  <c r="IA42" i="65037"/>
  <c r="HN187" i="65037"/>
  <c r="HO158" i="65037"/>
  <c r="HV151" i="65037"/>
  <c r="HW122" i="65037"/>
  <c r="IJ35" i="65037"/>
  <c r="IK35" i="65037" s="1"/>
  <c r="EN35" i="65037"/>
  <c r="IH35" i="65037"/>
  <c r="HW127" i="65037"/>
  <c r="HV156" i="65037"/>
  <c r="ID97" i="65037"/>
  <c r="IE39" i="65037"/>
  <c r="IH40" i="65037"/>
  <c r="IJ40" i="65037"/>
  <c r="IK40" i="65037" s="1"/>
  <c r="EN40" i="65037"/>
  <c r="EN47" i="65037"/>
  <c r="IJ47" i="65037"/>
  <c r="IK47" i="65037" s="1"/>
  <c r="IH47" i="65037"/>
  <c r="IA89" i="65037"/>
  <c r="HZ118" i="65037"/>
  <c r="HV143" i="65037"/>
  <c r="HS146" i="65037"/>
  <c r="HR175" i="65037"/>
  <c r="HV160" i="65037"/>
  <c r="IA85" i="65037"/>
  <c r="HZ114" i="65037"/>
  <c r="IE48" i="65037"/>
  <c r="ID106" i="65037"/>
  <c r="IA97" i="65037"/>
  <c r="HZ126" i="65037"/>
  <c r="ID88" i="65037"/>
  <c r="IE30" i="65037"/>
  <c r="EN31" i="65037"/>
  <c r="IH31" i="65037"/>
  <c r="IJ31" i="65037"/>
  <c r="IK31" i="65037" s="1"/>
  <c r="HV129" i="65037"/>
  <c r="HW100" i="65037"/>
  <c r="EM22" i="65037" l="1"/>
  <c r="HV158" i="65037"/>
  <c r="EO31" i="65037"/>
  <c r="IL31" i="65037"/>
  <c r="IN31" i="65037"/>
  <c r="IO31" i="65037" s="1"/>
  <c r="HZ143" i="65037"/>
  <c r="IH93" i="65037"/>
  <c r="II35" i="65037"/>
  <c r="HW151" i="65037"/>
  <c r="HV180" i="65037"/>
  <c r="HW180" i="65037" s="1"/>
  <c r="HZ156" i="65037"/>
  <c r="IA127" i="65037"/>
  <c r="HV194" i="65037"/>
  <c r="HW165" i="65037"/>
  <c r="II44" i="65037"/>
  <c r="IH102" i="65037"/>
  <c r="HZ157" i="65037"/>
  <c r="IA128" i="65037"/>
  <c r="IE93" i="65037"/>
  <c r="ID122" i="65037"/>
  <c r="II29" i="65037"/>
  <c r="IH87" i="65037"/>
  <c r="IH84" i="65037"/>
  <c r="II26" i="65037"/>
  <c r="ID114" i="65037"/>
  <c r="IE85" i="65037"/>
  <c r="HV171" i="65037"/>
  <c r="HW142" i="65037"/>
  <c r="II46" i="65037"/>
  <c r="IH104" i="65037"/>
  <c r="IH95" i="65037"/>
  <c r="II37" i="65037"/>
  <c r="EO39" i="65037"/>
  <c r="IN39" i="65037"/>
  <c r="IO39" i="65037" s="1"/>
  <c r="IL39" i="65037"/>
  <c r="HW148" i="65037"/>
  <c r="HV177" i="65037"/>
  <c r="HW162" i="65037"/>
  <c r="HV191" i="65037"/>
  <c r="HR173" i="65037"/>
  <c r="HS144" i="65037"/>
  <c r="HZ160" i="65037"/>
  <c r="II49" i="65037"/>
  <c r="IH107" i="65037"/>
  <c r="IE102" i="65037"/>
  <c r="ID131" i="65037"/>
  <c r="HZ115" i="65037"/>
  <c r="IA86" i="65037"/>
  <c r="II38" i="65037"/>
  <c r="IH96" i="65037"/>
  <c r="II31" i="65037"/>
  <c r="IH89" i="65037"/>
  <c r="ID126" i="65037"/>
  <c r="IE97" i="65037"/>
  <c r="EN28" i="65037"/>
  <c r="IJ28" i="65037"/>
  <c r="IK28" i="65037" s="1"/>
  <c r="IH28" i="65037"/>
  <c r="II43" i="65037"/>
  <c r="IH101" i="65037"/>
  <c r="HR187" i="65037"/>
  <c r="HS158" i="65037"/>
  <c r="HZ154" i="65037"/>
  <c r="IA92" i="65037"/>
  <c r="HZ121" i="65037"/>
  <c r="HW141" i="65037"/>
  <c r="HV170" i="65037"/>
  <c r="HW146" i="65037"/>
  <c r="HV175" i="65037"/>
  <c r="EN36" i="65037"/>
  <c r="IJ36" i="65037"/>
  <c r="IK36" i="65037" s="1"/>
  <c r="IH36" i="65037"/>
  <c r="HV161" i="65037"/>
  <c r="IH106" i="65037"/>
  <c r="II48" i="65037"/>
  <c r="IJ45" i="65037"/>
  <c r="IK45" i="65037" s="1"/>
  <c r="IH45" i="65037"/>
  <c r="EN45" i="65037"/>
  <c r="EO37" i="65037"/>
  <c r="IN37" i="65037"/>
  <c r="IO37" i="65037" s="1"/>
  <c r="IL37" i="65037"/>
  <c r="II39" i="65037"/>
  <c r="IH97" i="65037"/>
  <c r="HZ162" i="65037"/>
  <c r="IA133" i="65037"/>
  <c r="ID125" i="65037"/>
  <c r="IE96" i="65037"/>
  <c r="IH99" i="65037"/>
  <c r="II41" i="65037"/>
  <c r="IE104" i="65037"/>
  <c r="ID133" i="65037"/>
  <c r="IA103" i="65037"/>
  <c r="HZ132" i="65037"/>
  <c r="IE105" i="65037"/>
  <c r="ID134" i="65037"/>
  <c r="ID124" i="65037"/>
  <c r="IE95" i="65037"/>
  <c r="EN42" i="65037"/>
  <c r="IJ42" i="65037"/>
  <c r="IK42" i="65037" s="1"/>
  <c r="IH42" i="65037"/>
  <c r="IL38" i="65037"/>
  <c r="EO38" i="65037"/>
  <c r="IN38" i="65037"/>
  <c r="IO38" i="65037" s="1"/>
  <c r="IE84" i="65037"/>
  <c r="ID113" i="65037"/>
  <c r="HZ155" i="65037"/>
  <c r="HZ147" i="65037"/>
  <c r="EO43" i="65037"/>
  <c r="IN43" i="65037"/>
  <c r="IO43" i="65037" s="1"/>
  <c r="IL43" i="65037"/>
  <c r="IA122" i="65037"/>
  <c r="HZ151" i="65037"/>
  <c r="IE99" i="65037"/>
  <c r="ID128" i="65037"/>
  <c r="IA124" i="65037"/>
  <c r="HZ153" i="65037"/>
  <c r="HW157" i="65037"/>
  <c r="HV186" i="65037"/>
  <c r="HW186" i="65037" s="1"/>
  <c r="ID135" i="65037"/>
  <c r="IE106" i="65037"/>
  <c r="IH105" i="65037"/>
  <c r="II47" i="65037"/>
  <c r="EO40" i="65037"/>
  <c r="IN40" i="65037"/>
  <c r="IO40" i="65037" s="1"/>
  <c r="IL40" i="65037"/>
  <c r="HV185" i="65037"/>
  <c r="HW185" i="65037" s="1"/>
  <c r="HW156" i="65037"/>
  <c r="EO35" i="65037"/>
  <c r="IL35" i="65037"/>
  <c r="IN35" i="65037"/>
  <c r="IO35" i="65037" s="1"/>
  <c r="HZ129" i="65037"/>
  <c r="IA100" i="65037"/>
  <c r="EN34" i="65037"/>
  <c r="IJ34" i="65037"/>
  <c r="IK34" i="65037" s="1"/>
  <c r="IH34" i="65037"/>
  <c r="IE90" i="65037"/>
  <c r="ID119" i="65037"/>
  <c r="HZ146" i="65037"/>
  <c r="II27" i="65037"/>
  <c r="IH85" i="65037"/>
  <c r="HZ148" i="65037"/>
  <c r="IL30" i="65037"/>
  <c r="IN30" i="65037"/>
  <c r="IO30" i="65037" s="1"/>
  <c r="EO30" i="65037"/>
  <c r="IA120" i="65037"/>
  <c r="HZ149" i="65037"/>
  <c r="HV178" i="65037"/>
  <c r="HW178" i="65037" s="1"/>
  <c r="HW149" i="65037"/>
  <c r="IL44" i="65037"/>
  <c r="IN44" i="65037"/>
  <c r="IO44" i="65037" s="1"/>
  <c r="EO44" i="65037"/>
  <c r="IE83" i="65037"/>
  <c r="ID112" i="65037"/>
  <c r="HZ142" i="65037"/>
  <c r="HZ164" i="65037"/>
  <c r="HW123" i="65037"/>
  <c r="HV152" i="65037"/>
  <c r="HV184" i="65037"/>
  <c r="HW155" i="65037"/>
  <c r="IE91" i="65037"/>
  <c r="ID120" i="65037"/>
  <c r="HS152" i="65037"/>
  <c r="HR181" i="65037"/>
  <c r="HS181" i="65037" s="1"/>
  <c r="IL26" i="65037"/>
  <c r="EO26" i="65037"/>
  <c r="IN26" i="65037"/>
  <c r="IO26" i="65037" s="1"/>
  <c r="IE36" i="65037"/>
  <c r="ID94" i="65037"/>
  <c r="IN48" i="65037"/>
  <c r="IO48" i="65037" s="1"/>
  <c r="IL48" i="65037"/>
  <c r="EO48" i="65037"/>
  <c r="EO46" i="65037"/>
  <c r="IN46" i="65037"/>
  <c r="IO46" i="65037" s="1"/>
  <c r="IL46" i="65037"/>
  <c r="IE45" i="65037"/>
  <c r="ID103" i="65037"/>
  <c r="IL25" i="65037"/>
  <c r="IN25" i="65037"/>
  <c r="IO25" i="65037" s="1"/>
  <c r="EO25" i="65037"/>
  <c r="HV150" i="65037"/>
  <c r="HW121" i="65037"/>
  <c r="II33" i="65037"/>
  <c r="IH91" i="65037"/>
  <c r="ID116" i="65037"/>
  <c r="IE87" i="65037"/>
  <c r="EO41" i="65037"/>
  <c r="IN41" i="65037"/>
  <c r="IO41" i="65037" s="1"/>
  <c r="IL41" i="65037"/>
  <c r="HZ141" i="65037"/>
  <c r="ID118" i="65037"/>
  <c r="IE89" i="65037"/>
  <c r="HV144" i="65037"/>
  <c r="IE98" i="65037"/>
  <c r="ID127" i="65037"/>
  <c r="IE42" i="65037"/>
  <c r="ID100" i="65037"/>
  <c r="IN32" i="65037"/>
  <c r="IO32" i="65037" s="1"/>
  <c r="EO32" i="65037"/>
  <c r="IL32" i="65037"/>
  <c r="IE88" i="65037"/>
  <c r="ID117" i="65037"/>
  <c r="HV189" i="65037"/>
  <c r="HW160" i="65037"/>
  <c r="HV172" i="65037"/>
  <c r="HW143" i="65037"/>
  <c r="IN47" i="65037"/>
  <c r="IO47" i="65037" s="1"/>
  <c r="IL47" i="65037"/>
  <c r="EO47" i="65037"/>
  <c r="II40" i="65037"/>
  <c r="IH98" i="65037"/>
  <c r="ID86" i="65037"/>
  <c r="IE28" i="65037"/>
  <c r="ID92" i="65037"/>
  <c r="IE34" i="65037"/>
  <c r="EO27" i="65037"/>
  <c r="IN27" i="65037"/>
  <c r="IO27" i="65037" s="1"/>
  <c r="IL27" i="65037"/>
  <c r="HZ159" i="65037"/>
  <c r="II30" i="65037"/>
  <c r="IH88" i="65037"/>
  <c r="HV176" i="65037"/>
  <c r="HW147" i="65037"/>
  <c r="IA116" i="65037"/>
  <c r="HZ145" i="65037"/>
  <c r="HW153" i="65037"/>
  <c r="HV182" i="65037"/>
  <c r="HW182" i="65037" s="1"/>
  <c r="EO29" i="65037"/>
  <c r="IL29" i="65037"/>
  <c r="IN29" i="65037"/>
  <c r="IO29" i="65037" s="1"/>
  <c r="HV174" i="65037"/>
  <c r="HW145" i="65037"/>
  <c r="HZ165" i="65037"/>
  <c r="HW154" i="65037"/>
  <c r="HV183" i="65037"/>
  <c r="IE107" i="65037"/>
  <c r="ID136" i="65037"/>
  <c r="HV193" i="65037"/>
  <c r="HW164" i="65037"/>
  <c r="II25" i="65037"/>
  <c r="IH83" i="65037"/>
  <c r="HS150" i="65037"/>
  <c r="HR179" i="65037"/>
  <c r="HS179" i="65037" s="1"/>
  <c r="EO33" i="65037"/>
  <c r="IL33" i="65037"/>
  <c r="IN33" i="65037"/>
  <c r="IO33" i="65037" s="1"/>
  <c r="IA94" i="65037"/>
  <c r="HZ123" i="65037"/>
  <c r="HS161" i="65037"/>
  <c r="HR190" i="65037"/>
  <c r="HZ163" i="65037"/>
  <c r="IL49" i="65037"/>
  <c r="IN49" i="65037"/>
  <c r="IO49" i="65037" s="1"/>
  <c r="EO49" i="65037"/>
  <c r="HV192" i="65037"/>
  <c r="HW163" i="65037"/>
  <c r="HW159" i="65037"/>
  <c r="HV188" i="65037"/>
  <c r="ID130" i="65037"/>
  <c r="IE101" i="65037"/>
  <c r="IH90" i="65037"/>
  <c r="II32" i="65037"/>
  <c r="EN22" i="65037" l="1"/>
  <c r="IR49" i="65037"/>
  <c r="IS49" i="65037" s="1"/>
  <c r="EP49" i="65037"/>
  <c r="IP49" i="65037"/>
  <c r="HZ152" i="65037"/>
  <c r="IA123" i="65037"/>
  <c r="IL91" i="65037"/>
  <c r="IM33" i="65037"/>
  <c r="IA165" i="65037"/>
  <c r="HZ194" i="65037"/>
  <c r="IM29" i="65037"/>
  <c r="IL87" i="65037"/>
  <c r="IA145" i="65037"/>
  <c r="HZ174" i="65037"/>
  <c r="IA174" i="65037" s="1"/>
  <c r="IE86" i="65037"/>
  <c r="ID115" i="65037"/>
  <c r="ID146" i="65037"/>
  <c r="IE117" i="65037"/>
  <c r="IM32" i="65037"/>
  <c r="IL90" i="65037"/>
  <c r="IE100" i="65037"/>
  <c r="ID129" i="65037"/>
  <c r="ID147" i="65037"/>
  <c r="EP41" i="65037"/>
  <c r="IR41" i="65037"/>
  <c r="IS41" i="65037" s="1"/>
  <c r="IP41" i="65037"/>
  <c r="IP25" i="65037"/>
  <c r="EP25" i="65037"/>
  <c r="IR25" i="65037"/>
  <c r="IS25" i="65037" s="1"/>
  <c r="IM46" i="65037"/>
  <c r="IL104" i="65037"/>
  <c r="IM48" i="65037"/>
  <c r="IL106" i="65037"/>
  <c r="ID141" i="65037"/>
  <c r="IM44" i="65037"/>
  <c r="IL102" i="65037"/>
  <c r="EP40" i="65037"/>
  <c r="IP40" i="65037"/>
  <c r="IR40" i="65037"/>
  <c r="IS40" i="65037" s="1"/>
  <c r="IA153" i="65037"/>
  <c r="HZ182" i="65037"/>
  <c r="IA182" i="65037" s="1"/>
  <c r="IA151" i="65037"/>
  <c r="HZ180" i="65037"/>
  <c r="IA180" i="65037" s="1"/>
  <c r="IH100" i="65037"/>
  <c r="II42" i="65037"/>
  <c r="ID153" i="65037"/>
  <c r="IE124" i="65037"/>
  <c r="IH128" i="65037"/>
  <c r="II99" i="65037"/>
  <c r="ID154" i="65037"/>
  <c r="IL36" i="65037"/>
  <c r="IN36" i="65037"/>
  <c r="IO36" i="65037" s="1"/>
  <c r="EO36" i="65037"/>
  <c r="II101" i="65037"/>
  <c r="IH130" i="65037"/>
  <c r="II96" i="65037"/>
  <c r="IH125" i="65037"/>
  <c r="IM39" i="65037"/>
  <c r="IL97" i="65037"/>
  <c r="II95" i="65037"/>
  <c r="IH124" i="65037"/>
  <c r="IE122" i="65037"/>
  <c r="ID151" i="65037"/>
  <c r="II102" i="65037"/>
  <c r="IH131" i="65037"/>
  <c r="HZ185" i="65037"/>
  <c r="IA185" i="65037" s="1"/>
  <c r="IA156" i="65037"/>
  <c r="IH122" i="65037"/>
  <c r="II93" i="65037"/>
  <c r="IM31" i="65037"/>
  <c r="IL89" i="65037"/>
  <c r="IH119" i="65037"/>
  <c r="II90" i="65037"/>
  <c r="IL107" i="65037"/>
  <c r="IM49" i="65037"/>
  <c r="II88" i="65037"/>
  <c r="IH117" i="65037"/>
  <c r="IM27" i="65037"/>
  <c r="IL85" i="65037"/>
  <c r="IM47" i="65037"/>
  <c r="IL105" i="65037"/>
  <c r="HW144" i="65037"/>
  <c r="HV173" i="65037"/>
  <c r="IA141" i="65037"/>
  <c r="HZ170" i="65037"/>
  <c r="HW150" i="65037"/>
  <c r="HV179" i="65037"/>
  <c r="HW179" i="65037" s="1"/>
  <c r="IM25" i="65037"/>
  <c r="IL83" i="65037"/>
  <c r="EP46" i="65037"/>
  <c r="IR46" i="65037"/>
  <c r="IS46" i="65037" s="1"/>
  <c r="IP46" i="65037"/>
  <c r="IR48" i="65037"/>
  <c r="IS48" i="65037" s="1"/>
  <c r="EP48" i="65037"/>
  <c r="IP48" i="65037"/>
  <c r="EP26" i="65037"/>
  <c r="IR26" i="65037"/>
  <c r="IS26" i="65037" s="1"/>
  <c r="IP26" i="65037"/>
  <c r="ID149" i="65037"/>
  <c r="IE120" i="65037"/>
  <c r="HZ193" i="65037"/>
  <c r="IA164" i="65037"/>
  <c r="IA146" i="65037"/>
  <c r="HZ175" i="65037"/>
  <c r="IH92" i="65037"/>
  <c r="II34" i="65037"/>
  <c r="HZ158" i="65037"/>
  <c r="IA129" i="65037"/>
  <c r="ID164" i="65037"/>
  <c r="HZ176" i="65037"/>
  <c r="IA147" i="65037"/>
  <c r="IR38" i="65037"/>
  <c r="IS38" i="65037" s="1"/>
  <c r="EP38" i="65037"/>
  <c r="IP38" i="65037"/>
  <c r="IL42" i="65037"/>
  <c r="IN42" i="65037"/>
  <c r="IO42" i="65037" s="1"/>
  <c r="EO42" i="65037"/>
  <c r="IE134" i="65037"/>
  <c r="ID163" i="65037"/>
  <c r="IE133" i="65037"/>
  <c r="ID162" i="65037"/>
  <c r="IL95" i="65037"/>
  <c r="IM37" i="65037"/>
  <c r="II106" i="65037"/>
  <c r="IH135" i="65037"/>
  <c r="HW161" i="65037"/>
  <c r="HV190" i="65037"/>
  <c r="IA160" i="65037"/>
  <c r="HZ189" i="65037"/>
  <c r="IP39" i="65037"/>
  <c r="IR39" i="65037"/>
  <c r="IS39" i="65037" s="1"/>
  <c r="EP39" i="65037"/>
  <c r="IH133" i="65037"/>
  <c r="II104" i="65037"/>
  <c r="IH113" i="65037"/>
  <c r="II84" i="65037"/>
  <c r="IA163" i="65037"/>
  <c r="HZ192" i="65037"/>
  <c r="EP27" i="65037"/>
  <c r="IR27" i="65037"/>
  <c r="IS27" i="65037" s="1"/>
  <c r="IP27" i="65037"/>
  <c r="ID121" i="65037"/>
  <c r="IE92" i="65037"/>
  <c r="II98" i="65037"/>
  <c r="IH127" i="65037"/>
  <c r="EP47" i="65037"/>
  <c r="IP47" i="65037"/>
  <c r="IR47" i="65037"/>
  <c r="IS47" i="65037" s="1"/>
  <c r="IP32" i="65037"/>
  <c r="IR32" i="65037"/>
  <c r="IS32" i="65037" s="1"/>
  <c r="EP32" i="65037"/>
  <c r="ID156" i="65037"/>
  <c r="IE127" i="65037"/>
  <c r="IE116" i="65037"/>
  <c r="ID145" i="65037"/>
  <c r="ID132" i="65037"/>
  <c r="IE103" i="65037"/>
  <c r="HW152" i="65037"/>
  <c r="HV181" i="65037"/>
  <c r="HW181" i="65037" s="1"/>
  <c r="EP30" i="65037"/>
  <c r="IP30" i="65037"/>
  <c r="IR30" i="65037"/>
  <c r="IS30" i="65037" s="1"/>
  <c r="HZ177" i="65037"/>
  <c r="IA148" i="65037"/>
  <c r="IL34" i="65037"/>
  <c r="IN34" i="65037"/>
  <c r="IO34" i="65037" s="1"/>
  <c r="EO34" i="65037"/>
  <c r="EP35" i="65037"/>
  <c r="IP35" i="65037"/>
  <c r="IR35" i="65037"/>
  <c r="IS35" i="65037" s="1"/>
  <c r="IE128" i="65037"/>
  <c r="ID157" i="65037"/>
  <c r="IM43" i="65037"/>
  <c r="IL101" i="65037"/>
  <c r="HZ191" i="65037"/>
  <c r="IA191" i="65037" s="1"/>
  <c r="IA162" i="65037"/>
  <c r="EP37" i="65037"/>
  <c r="IR37" i="65037"/>
  <c r="IS37" i="65037" s="1"/>
  <c r="IP37" i="65037"/>
  <c r="IH103" i="65037"/>
  <c r="II45" i="65037"/>
  <c r="HZ150" i="65037"/>
  <c r="IA121" i="65037"/>
  <c r="II28" i="65037"/>
  <c r="IH86" i="65037"/>
  <c r="ID155" i="65037"/>
  <c r="II89" i="65037"/>
  <c r="IH118" i="65037"/>
  <c r="ID160" i="65037"/>
  <c r="IH116" i="65037"/>
  <c r="II87" i="65037"/>
  <c r="HZ186" i="65037"/>
  <c r="IA186" i="65037" s="1"/>
  <c r="IA157" i="65037"/>
  <c r="IA143" i="65037"/>
  <c r="HZ172" i="65037"/>
  <c r="HW158" i="65037"/>
  <c r="HV187" i="65037"/>
  <c r="ID159" i="65037"/>
  <c r="IE130" i="65037"/>
  <c r="IR33" i="65037"/>
  <c r="IS33" i="65037" s="1"/>
  <c r="IP33" i="65037"/>
  <c r="EP33" i="65037"/>
  <c r="IH112" i="65037"/>
  <c r="II83" i="65037"/>
  <c r="ID165" i="65037"/>
  <c r="EP29" i="65037"/>
  <c r="IR29" i="65037"/>
  <c r="IS29" i="65037" s="1"/>
  <c r="IP29" i="65037"/>
  <c r="HZ188" i="65037"/>
  <c r="IA159" i="65037"/>
  <c r="IM41" i="65037"/>
  <c r="IL99" i="65037"/>
  <c r="II91" i="65037"/>
  <c r="IH120" i="65037"/>
  <c r="ID123" i="65037"/>
  <c r="IE94" i="65037"/>
  <c r="IL84" i="65037"/>
  <c r="IM26" i="65037"/>
  <c r="IA142" i="65037"/>
  <c r="HZ171" i="65037"/>
  <c r="EP44" i="65037"/>
  <c r="IP44" i="65037"/>
  <c r="IR44" i="65037"/>
  <c r="IS44" i="65037" s="1"/>
  <c r="HZ178" i="65037"/>
  <c r="IA178" i="65037" s="1"/>
  <c r="IA149" i="65037"/>
  <c r="IM30" i="65037"/>
  <c r="IL88" i="65037"/>
  <c r="IH114" i="65037"/>
  <c r="II85" i="65037"/>
  <c r="ID148" i="65037"/>
  <c r="IM35" i="65037"/>
  <c r="IL93" i="65037"/>
  <c r="IL98" i="65037"/>
  <c r="IM40" i="65037"/>
  <c r="II105" i="65037"/>
  <c r="IH134" i="65037"/>
  <c r="IR43" i="65037"/>
  <c r="IS43" i="65037" s="1"/>
  <c r="IP43" i="65037"/>
  <c r="EP43" i="65037"/>
  <c r="IA155" i="65037"/>
  <c r="HZ184" i="65037"/>
  <c r="ID142" i="65037"/>
  <c r="IM38" i="65037"/>
  <c r="IL96" i="65037"/>
  <c r="HZ161" i="65037"/>
  <c r="IH126" i="65037"/>
  <c r="II97" i="65037"/>
  <c r="IL45" i="65037"/>
  <c r="IN45" i="65037"/>
  <c r="IO45" i="65037" s="1"/>
  <c r="EO45" i="65037"/>
  <c r="II36" i="65037"/>
  <c r="IH94" i="65037"/>
  <c r="IA154" i="65037"/>
  <c r="HZ183" i="65037"/>
  <c r="EO28" i="65037"/>
  <c r="IN28" i="65037"/>
  <c r="IO28" i="65037" s="1"/>
  <c r="IL28" i="65037"/>
  <c r="IA115" i="65037"/>
  <c r="HZ144" i="65037"/>
  <c r="II107" i="65037"/>
  <c r="IH136" i="65037"/>
  <c r="IE114" i="65037"/>
  <c r="ID143" i="65037"/>
  <c r="EP31" i="65037"/>
  <c r="IR31" i="65037"/>
  <c r="IS31" i="65037" s="1"/>
  <c r="IP31" i="65037"/>
  <c r="EO22" i="65037" l="1"/>
  <c r="EQ31" i="65037"/>
  <c r="IV31" i="65037"/>
  <c r="IW31" i="65037" s="1"/>
  <c r="IT31" i="65037"/>
  <c r="IL86" i="65037"/>
  <c r="IM28" i="65037"/>
  <c r="IM45" i="65037"/>
  <c r="IL103" i="65037"/>
  <c r="IQ43" i="65037"/>
  <c r="IP101" i="65037"/>
  <c r="ID177" i="65037"/>
  <c r="IE148" i="65037"/>
  <c r="IL117" i="65037"/>
  <c r="IM88" i="65037"/>
  <c r="ID152" i="65037"/>
  <c r="IE123" i="65037"/>
  <c r="IM99" i="65037"/>
  <c r="IL128" i="65037"/>
  <c r="EQ29" i="65037"/>
  <c r="IT29" i="65037"/>
  <c r="IV29" i="65037"/>
  <c r="IW29" i="65037" s="1"/>
  <c r="IE159" i="65037"/>
  <c r="ID188" i="65037"/>
  <c r="IE188" i="65037" s="1"/>
  <c r="EQ35" i="65037"/>
  <c r="IT35" i="65037"/>
  <c r="IV35" i="65037"/>
  <c r="IW35" i="65037" s="1"/>
  <c r="IT30" i="65037"/>
  <c r="EQ30" i="65037"/>
  <c r="IV30" i="65037"/>
  <c r="IW30" i="65037" s="1"/>
  <c r="ID174" i="65037"/>
  <c r="IE174" i="65037" s="1"/>
  <c r="IE145" i="65037"/>
  <c r="IM42" i="65037"/>
  <c r="IL100" i="65037"/>
  <c r="IQ38" i="65037"/>
  <c r="IP96" i="65037"/>
  <c r="IP84" i="65037"/>
  <c r="IQ26" i="65037"/>
  <c r="IH153" i="65037"/>
  <c r="II124" i="65037"/>
  <c r="IH154" i="65037"/>
  <c r="IV41" i="65037"/>
  <c r="IW41" i="65037" s="1"/>
  <c r="IT41" i="65037"/>
  <c r="EQ41" i="65037"/>
  <c r="EQ49" i="65037"/>
  <c r="IV49" i="65037"/>
  <c r="IW49" i="65037" s="1"/>
  <c r="IT49" i="65037"/>
  <c r="IR28" i="65037"/>
  <c r="IS28" i="65037" s="1"/>
  <c r="IP28" i="65037"/>
  <c r="EP28" i="65037"/>
  <c r="II94" i="65037"/>
  <c r="IH123" i="65037"/>
  <c r="EQ43" i="65037"/>
  <c r="IV43" i="65037"/>
  <c r="IW43" i="65037" s="1"/>
  <c r="IT43" i="65037"/>
  <c r="IQ44" i="65037"/>
  <c r="IP102" i="65037"/>
  <c r="IH141" i="65037"/>
  <c r="IE155" i="65037"/>
  <c r="ID184" i="65037"/>
  <c r="HZ179" i="65037"/>
  <c r="IA179" i="65037" s="1"/>
  <c r="IA150" i="65037"/>
  <c r="IV37" i="65037"/>
  <c r="IW37" i="65037" s="1"/>
  <c r="IT37" i="65037"/>
  <c r="EQ37" i="65037"/>
  <c r="IL92" i="65037"/>
  <c r="IM34" i="65037"/>
  <c r="IV32" i="65037"/>
  <c r="IW32" i="65037" s="1"/>
  <c r="EQ32" i="65037"/>
  <c r="IT32" i="65037"/>
  <c r="II127" i="65037"/>
  <c r="IH156" i="65037"/>
  <c r="EQ39" i="65037"/>
  <c r="IV39" i="65037"/>
  <c r="IW39" i="65037" s="1"/>
  <c r="IT39" i="65037"/>
  <c r="IH121" i="65037"/>
  <c r="II92" i="65037"/>
  <c r="IV26" i="65037"/>
  <c r="IW26" i="65037" s="1"/>
  <c r="IT26" i="65037"/>
  <c r="EQ26" i="65037"/>
  <c r="IM106" i="65037"/>
  <c r="IL135" i="65037"/>
  <c r="EQ25" i="65037"/>
  <c r="IV25" i="65037"/>
  <c r="IW25" i="65037" s="1"/>
  <c r="IT25" i="65037"/>
  <c r="ID172" i="65037"/>
  <c r="IE172" i="65037" s="1"/>
  <c r="IE143" i="65037"/>
  <c r="IH155" i="65037"/>
  <c r="II134" i="65037"/>
  <c r="IH163" i="65037"/>
  <c r="IL122" i="65037"/>
  <c r="IM93" i="65037"/>
  <c r="IM84" i="65037"/>
  <c r="IL113" i="65037"/>
  <c r="IH149" i="65037"/>
  <c r="II120" i="65037"/>
  <c r="ID194" i="65037"/>
  <c r="IE165" i="65037"/>
  <c r="II118" i="65037"/>
  <c r="IH147" i="65037"/>
  <c r="II86" i="65037"/>
  <c r="IH115" i="65037"/>
  <c r="ID186" i="65037"/>
  <c r="IE186" i="65037" s="1"/>
  <c r="IE157" i="65037"/>
  <c r="IQ32" i="65037"/>
  <c r="IP90" i="65037"/>
  <c r="IT47" i="65037"/>
  <c r="EQ47" i="65037"/>
  <c r="IV47" i="65037"/>
  <c r="IW47" i="65037" s="1"/>
  <c r="IT27" i="65037"/>
  <c r="IV27" i="65037"/>
  <c r="IW27" i="65037" s="1"/>
  <c r="EQ27" i="65037"/>
  <c r="IQ39" i="65037"/>
  <c r="IP97" i="65037"/>
  <c r="IL124" i="65037"/>
  <c r="IM95" i="65037"/>
  <c r="IE162" i="65037"/>
  <c r="ID191" i="65037"/>
  <c r="IE191" i="65037" s="1"/>
  <c r="EQ38" i="65037"/>
  <c r="IV38" i="65037"/>
  <c r="IW38" i="65037" s="1"/>
  <c r="IT38" i="65037"/>
  <c r="IP104" i="65037"/>
  <c r="IQ46" i="65037"/>
  <c r="IM107" i="65037"/>
  <c r="IL136" i="65037"/>
  <c r="IM89" i="65037"/>
  <c r="IL118" i="65037"/>
  <c r="IL126" i="65037"/>
  <c r="IM97" i="65037"/>
  <c r="II130" i="65037"/>
  <c r="IH159" i="65037"/>
  <c r="ID183" i="65037"/>
  <c r="IE154" i="65037"/>
  <c r="IE153" i="65037"/>
  <c r="ID182" i="65037"/>
  <c r="IE182" i="65037" s="1"/>
  <c r="IT40" i="65037"/>
  <c r="IV40" i="65037"/>
  <c r="IW40" i="65037" s="1"/>
  <c r="EQ40" i="65037"/>
  <c r="IL131" i="65037"/>
  <c r="IM102" i="65037"/>
  <c r="IE147" i="65037"/>
  <c r="ID176" i="65037"/>
  <c r="IL119" i="65037"/>
  <c r="IM90" i="65037"/>
  <c r="IE115" i="65037"/>
  <c r="ID144" i="65037"/>
  <c r="IL116" i="65037"/>
  <c r="IM87" i="65037"/>
  <c r="IQ49" i="65037"/>
  <c r="IP107" i="65037"/>
  <c r="IH165" i="65037"/>
  <c r="IA161" i="65037"/>
  <c r="HZ190" i="65037"/>
  <c r="IV44" i="65037"/>
  <c r="IW44" i="65037" s="1"/>
  <c r="IT44" i="65037"/>
  <c r="EQ44" i="65037"/>
  <c r="IV33" i="65037"/>
  <c r="IW33" i="65037" s="1"/>
  <c r="IT33" i="65037"/>
  <c r="EQ33" i="65037"/>
  <c r="IP95" i="65037"/>
  <c r="IQ37" i="65037"/>
  <c r="IL130" i="65037"/>
  <c r="IM101" i="65037"/>
  <c r="IP34" i="65037"/>
  <c r="IR34" i="65037"/>
  <c r="IS34" i="65037" s="1"/>
  <c r="EP34" i="65037"/>
  <c r="ID150" i="65037"/>
  <c r="IE121" i="65037"/>
  <c r="IE163" i="65037"/>
  <c r="ID192" i="65037"/>
  <c r="IE192" i="65037" s="1"/>
  <c r="ID193" i="65037"/>
  <c r="IE164" i="65037"/>
  <c r="IM36" i="65037"/>
  <c r="IL94" i="65037"/>
  <c r="IH157" i="65037"/>
  <c r="II128" i="65037"/>
  <c r="IH129" i="65037"/>
  <c r="II100" i="65037"/>
  <c r="IE129" i="65037"/>
  <c r="ID158" i="65037"/>
  <c r="IM96" i="65037"/>
  <c r="IL125" i="65037"/>
  <c r="IL127" i="65037"/>
  <c r="IM98" i="65037"/>
  <c r="IQ35" i="65037"/>
  <c r="IP93" i="65037"/>
  <c r="IP88" i="65037"/>
  <c r="IQ30" i="65037"/>
  <c r="IQ27" i="65037"/>
  <c r="IP85" i="65037"/>
  <c r="IH142" i="65037"/>
  <c r="II113" i="65037"/>
  <c r="IT48" i="65037"/>
  <c r="IV48" i="65037"/>
  <c r="IW48" i="65037" s="1"/>
  <c r="EQ48" i="65037"/>
  <c r="IM83" i="65037"/>
  <c r="IL112" i="65037"/>
  <c r="IL134" i="65037"/>
  <c r="IM105" i="65037"/>
  <c r="IH146" i="65037"/>
  <c r="II117" i="65037"/>
  <c r="IH148" i="65037"/>
  <c r="II122" i="65037"/>
  <c r="IH151" i="65037"/>
  <c r="ID180" i="65037"/>
  <c r="IE180" i="65037" s="1"/>
  <c r="IE151" i="65037"/>
  <c r="IE141" i="65037"/>
  <c r="ID170" i="65037"/>
  <c r="ID175" i="65037"/>
  <c r="IE175" i="65037" s="1"/>
  <c r="IE146" i="65037"/>
  <c r="HZ181" i="65037"/>
  <c r="IA181" i="65037" s="1"/>
  <c r="IA152" i="65037"/>
  <c r="IP89" i="65037"/>
  <c r="IQ31" i="65037"/>
  <c r="IA144" i="65037"/>
  <c r="HZ173" i="65037"/>
  <c r="IA173" i="65037" s="1"/>
  <c r="EP45" i="65037"/>
  <c r="IR45" i="65037"/>
  <c r="IS45" i="65037" s="1"/>
  <c r="IP45" i="65037"/>
  <c r="ID171" i="65037"/>
  <c r="IE142" i="65037"/>
  <c r="IH143" i="65037"/>
  <c r="II114" i="65037"/>
  <c r="IQ29" i="65037"/>
  <c r="IP87" i="65037"/>
  <c r="IQ33" i="65037"/>
  <c r="IP91" i="65037"/>
  <c r="IH145" i="65037"/>
  <c r="II116" i="65037"/>
  <c r="IE160" i="65037"/>
  <c r="ID189" i="65037"/>
  <c r="IH132" i="65037"/>
  <c r="II103" i="65037"/>
  <c r="ID161" i="65037"/>
  <c r="IE156" i="65037"/>
  <c r="ID185" i="65037"/>
  <c r="IE185" i="65037" s="1"/>
  <c r="IQ47" i="65037"/>
  <c r="IP105" i="65037"/>
  <c r="II133" i="65037"/>
  <c r="IH162" i="65037"/>
  <c r="II135" i="65037"/>
  <c r="IH164" i="65037"/>
  <c r="IP42" i="65037"/>
  <c r="IR42" i="65037"/>
  <c r="IS42" i="65037" s="1"/>
  <c r="EP42" i="65037"/>
  <c r="HZ187" i="65037"/>
  <c r="IA187" i="65037" s="1"/>
  <c r="IA158" i="65037"/>
  <c r="ID178" i="65037"/>
  <c r="IE178" i="65037" s="1"/>
  <c r="IE149" i="65037"/>
  <c r="IQ48" i="65037"/>
  <c r="IP106" i="65037"/>
  <c r="EQ46" i="65037"/>
  <c r="IT46" i="65037"/>
  <c r="IV46" i="65037"/>
  <c r="IW46" i="65037" s="1"/>
  <c r="IM85" i="65037"/>
  <c r="IL114" i="65037"/>
  <c r="II131" i="65037"/>
  <c r="IH160" i="65037"/>
  <c r="EP36" i="65037"/>
  <c r="IR36" i="65037"/>
  <c r="IS36" i="65037" s="1"/>
  <c r="IP36" i="65037"/>
  <c r="IP98" i="65037"/>
  <c r="IQ40" i="65037"/>
  <c r="IM104" i="65037"/>
  <c r="IL133" i="65037"/>
  <c r="IP83" i="65037"/>
  <c r="IQ25" i="65037"/>
  <c r="IP99" i="65037"/>
  <c r="IQ41" i="65037"/>
  <c r="IM91" i="65037"/>
  <c r="IL120" i="65037"/>
  <c r="EP22" i="65037" l="1"/>
  <c r="ER46" i="65037"/>
  <c r="AE94" i="65052" s="1"/>
  <c r="IX46" i="65037"/>
  <c r="IL163" i="65037"/>
  <c r="IM134" i="65037"/>
  <c r="IL141" i="65037"/>
  <c r="IL154" i="65037"/>
  <c r="IM116" i="65037"/>
  <c r="IL145" i="65037"/>
  <c r="IL153" i="65037"/>
  <c r="IM124" i="65037"/>
  <c r="IP126" i="65037"/>
  <c r="IQ97" i="65037"/>
  <c r="IU47" i="65037"/>
  <c r="IT105" i="65037"/>
  <c r="IH144" i="65037"/>
  <c r="II115" i="65037"/>
  <c r="IX32" i="65037"/>
  <c r="ER32" i="65037"/>
  <c r="AE80" i="65052" s="1"/>
  <c r="IH170" i="65037"/>
  <c r="II141" i="65037"/>
  <c r="IT99" i="65037"/>
  <c r="IU41" i="65037"/>
  <c r="IU31" i="65037"/>
  <c r="IT89" i="65037"/>
  <c r="IT104" i="65037"/>
  <c r="IU46" i="65037"/>
  <c r="II162" i="65037"/>
  <c r="IH191" i="65037"/>
  <c r="II191" i="65037" s="1"/>
  <c r="IP114" i="65037"/>
  <c r="IQ85" i="65037"/>
  <c r="IP122" i="65037"/>
  <c r="IQ93" i="65037"/>
  <c r="II165" i="65037"/>
  <c r="IH194" i="65037"/>
  <c r="IP136" i="65037"/>
  <c r="IQ107" i="65037"/>
  <c r="IL155" i="65037"/>
  <c r="IU26" i="65037"/>
  <c r="IT84" i="65037"/>
  <c r="IU37" i="65037"/>
  <c r="IT95" i="65037"/>
  <c r="IX43" i="65037"/>
  <c r="ER43" i="65037"/>
  <c r="AE91" i="65052" s="1"/>
  <c r="ER49" i="65037"/>
  <c r="IX49" i="65037"/>
  <c r="IQ84" i="65037"/>
  <c r="IP113" i="65037"/>
  <c r="IL129" i="65037"/>
  <c r="IM100" i="65037"/>
  <c r="IX35" i="65037"/>
  <c r="ER35" i="65037"/>
  <c r="AE83" i="65052" s="1"/>
  <c r="IM128" i="65037"/>
  <c r="IL157" i="65037"/>
  <c r="IP130" i="65037"/>
  <c r="IQ101" i="65037"/>
  <c r="IX31" i="65037"/>
  <c r="ER31" i="65037"/>
  <c r="AE79" i="65052" s="1"/>
  <c r="IL162" i="65037"/>
  <c r="IM133" i="65037"/>
  <c r="IH189" i="65037"/>
  <c r="II189" i="65037" s="1"/>
  <c r="II160" i="65037"/>
  <c r="IM114" i="65037"/>
  <c r="IL143" i="65037"/>
  <c r="IT42" i="65037"/>
  <c r="IV42" i="65037"/>
  <c r="IW42" i="65037" s="1"/>
  <c r="EQ42" i="65037"/>
  <c r="IP116" i="65037"/>
  <c r="IQ87" i="65037"/>
  <c r="II143" i="65037"/>
  <c r="IH172" i="65037"/>
  <c r="II172" i="65037" s="1"/>
  <c r="IP103" i="65037"/>
  <c r="IQ45" i="65037"/>
  <c r="IH175" i="65037"/>
  <c r="II175" i="65037" s="1"/>
  <c r="II146" i="65037"/>
  <c r="IE158" i="65037"/>
  <c r="ID187" i="65037"/>
  <c r="IE187" i="65037" s="1"/>
  <c r="II157" i="65037"/>
  <c r="IH186" i="65037"/>
  <c r="II186" i="65037" s="1"/>
  <c r="IQ34" i="65037"/>
  <c r="IP92" i="65037"/>
  <c r="IP124" i="65037"/>
  <c r="IQ95" i="65037"/>
  <c r="IT102" i="65037"/>
  <c r="IU44" i="65037"/>
  <c r="II159" i="65037"/>
  <c r="IH188" i="65037"/>
  <c r="II188" i="65037" s="1"/>
  <c r="IL147" i="65037"/>
  <c r="IM118" i="65037"/>
  <c r="IP133" i="65037"/>
  <c r="IQ104" i="65037"/>
  <c r="IX47" i="65037"/>
  <c r="ER47" i="65037"/>
  <c r="AE95" i="65052" s="1"/>
  <c r="II147" i="65037"/>
  <c r="IH176" i="65037"/>
  <c r="II176" i="65037" s="1"/>
  <c r="IL142" i="65037"/>
  <c r="IM113" i="65037"/>
  <c r="IM122" i="65037"/>
  <c r="IL151" i="65037"/>
  <c r="IH184" i="65037"/>
  <c r="II155" i="65037"/>
  <c r="IM135" i="65037"/>
  <c r="IL164" i="65037"/>
  <c r="IX26" i="65037"/>
  <c r="ER26" i="65037"/>
  <c r="AE74" i="65052" s="1"/>
  <c r="ER39" i="65037"/>
  <c r="AE87" i="65052" s="1"/>
  <c r="IX39" i="65037"/>
  <c r="IT90" i="65037"/>
  <c r="IU32" i="65037"/>
  <c r="IL121" i="65037"/>
  <c r="IM92" i="65037"/>
  <c r="ER37" i="65037"/>
  <c r="IX37" i="65037"/>
  <c r="IQ102" i="65037"/>
  <c r="IP131" i="65037"/>
  <c r="IQ28" i="65037"/>
  <c r="IP86" i="65037"/>
  <c r="IX30" i="65037"/>
  <c r="ER30" i="65037"/>
  <c r="AE78" i="65052" s="1"/>
  <c r="IT93" i="65037"/>
  <c r="IU35" i="65037"/>
  <c r="IX29" i="65037"/>
  <c r="ER29" i="65037"/>
  <c r="AE77" i="65052" s="1"/>
  <c r="IM117" i="65037"/>
  <c r="IL146" i="65037"/>
  <c r="EQ36" i="65037"/>
  <c r="IT36" i="65037"/>
  <c r="IV36" i="65037"/>
  <c r="IW36" i="65037" s="1"/>
  <c r="IH193" i="65037"/>
  <c r="II193" i="65037" s="1"/>
  <c r="II164" i="65037"/>
  <c r="IP120" i="65037"/>
  <c r="IQ91" i="65037"/>
  <c r="IP118" i="65037"/>
  <c r="IQ89" i="65037"/>
  <c r="IU48" i="65037"/>
  <c r="IT106" i="65037"/>
  <c r="IP117" i="65037"/>
  <c r="IQ88" i="65037"/>
  <c r="II129" i="65037"/>
  <c r="IH158" i="65037"/>
  <c r="IE150" i="65037"/>
  <c r="ID179" i="65037"/>
  <c r="IE179" i="65037" s="1"/>
  <c r="IM130" i="65037"/>
  <c r="IL159" i="65037"/>
  <c r="ER33" i="65037"/>
  <c r="AE81" i="65052" s="1"/>
  <c r="IX33" i="65037"/>
  <c r="IL148" i="65037"/>
  <c r="IT98" i="65037"/>
  <c r="IU40" i="65037"/>
  <c r="IL165" i="65037"/>
  <c r="IM136" i="65037"/>
  <c r="IX38" i="65037"/>
  <c r="ER38" i="65037"/>
  <c r="AE86" i="65052" s="1"/>
  <c r="IT85" i="65037"/>
  <c r="IU27" i="65037"/>
  <c r="ER25" i="65037"/>
  <c r="IX25" i="65037"/>
  <c r="IH150" i="65037"/>
  <c r="II121" i="65037"/>
  <c r="II156" i="65037"/>
  <c r="IH185" i="65037"/>
  <c r="II185" i="65037" s="1"/>
  <c r="IU43" i="65037"/>
  <c r="IT101" i="65037"/>
  <c r="IT107" i="65037"/>
  <c r="IU49" i="65037"/>
  <c r="II154" i="65037"/>
  <c r="IH183" i="65037"/>
  <c r="IU30" i="65037"/>
  <c r="IT88" i="65037"/>
  <c r="IE152" i="65037"/>
  <c r="ID181" i="65037"/>
  <c r="IE181" i="65037" s="1"/>
  <c r="IP112" i="65037"/>
  <c r="IQ83" i="65037"/>
  <c r="IP127" i="65037"/>
  <c r="IQ98" i="65037"/>
  <c r="IH180" i="65037"/>
  <c r="II180" i="65037" s="1"/>
  <c r="II151" i="65037"/>
  <c r="EQ34" i="65037"/>
  <c r="IV34" i="65037"/>
  <c r="IW34" i="65037" s="1"/>
  <c r="IT34" i="65037"/>
  <c r="IE144" i="65037"/>
  <c r="ID173" i="65037"/>
  <c r="IE173" i="65037" s="1"/>
  <c r="IM131" i="65037"/>
  <c r="IL160" i="65037"/>
  <c r="IP119" i="65037"/>
  <c r="IQ90" i="65037"/>
  <c r="II149" i="65037"/>
  <c r="IH178" i="65037"/>
  <c r="II178" i="65037" s="1"/>
  <c r="IU39" i="65037"/>
  <c r="IT97" i="65037"/>
  <c r="ER41" i="65037"/>
  <c r="AE89" i="65052" s="1"/>
  <c r="IX41" i="65037"/>
  <c r="IL149" i="65037"/>
  <c r="IM120" i="65037"/>
  <c r="IP128" i="65037"/>
  <c r="IQ99" i="65037"/>
  <c r="IQ36" i="65037"/>
  <c r="IP94" i="65037"/>
  <c r="IP135" i="65037"/>
  <c r="IQ106" i="65037"/>
  <c r="IQ42" i="65037"/>
  <c r="IP100" i="65037"/>
  <c r="IP134" i="65037"/>
  <c r="IQ105" i="65037"/>
  <c r="IE161" i="65037"/>
  <c r="ID190" i="65037"/>
  <c r="IH161" i="65037"/>
  <c r="II145" i="65037"/>
  <c r="IH174" i="65037"/>
  <c r="II174" i="65037" s="1"/>
  <c r="IT45" i="65037"/>
  <c r="IV45" i="65037"/>
  <c r="IW45" i="65037" s="1"/>
  <c r="EQ45" i="65037"/>
  <c r="IH177" i="65037"/>
  <c r="II148" i="65037"/>
  <c r="IX48" i="65037"/>
  <c r="ER48" i="65037"/>
  <c r="AE96" i="65052" s="1"/>
  <c r="IH171" i="65037"/>
  <c r="II171" i="65037" s="1"/>
  <c r="II142" i="65037"/>
  <c r="IL156" i="65037"/>
  <c r="IM127" i="65037"/>
  <c r="IM94" i="65037"/>
  <c r="IL123" i="65037"/>
  <c r="IU33" i="65037"/>
  <c r="IT91" i="65037"/>
  <c r="IX44" i="65037"/>
  <c r="ER44" i="65037"/>
  <c r="AE92" i="65052" s="1"/>
  <c r="ER40" i="65037"/>
  <c r="AE88" i="65052" s="1"/>
  <c r="IX40" i="65037"/>
  <c r="IU38" i="65037"/>
  <c r="IT96" i="65037"/>
  <c r="ER27" i="65037"/>
  <c r="AE75" i="65052" s="1"/>
  <c r="IX27" i="65037"/>
  <c r="II163" i="65037"/>
  <c r="IH192" i="65037"/>
  <c r="II192" i="65037" s="1"/>
  <c r="IU25" i="65037"/>
  <c r="IT83" i="65037"/>
  <c r="II123" i="65037"/>
  <c r="IH152" i="65037"/>
  <c r="IT28" i="65037"/>
  <c r="IV28" i="65037"/>
  <c r="IW28" i="65037" s="1"/>
  <c r="EQ28" i="65037"/>
  <c r="IH182" i="65037"/>
  <c r="II182" i="65037" s="1"/>
  <c r="II153" i="65037"/>
  <c r="IQ96" i="65037"/>
  <c r="IP125" i="65037"/>
  <c r="IT87" i="65037"/>
  <c r="IU29" i="65037"/>
  <c r="IM103" i="65037"/>
  <c r="IL132" i="65037"/>
  <c r="IL115" i="65037"/>
  <c r="IM86" i="65037"/>
  <c r="AE85" i="65052" l="1"/>
  <c r="AD85" i="65052"/>
  <c r="AE73" i="65052"/>
  <c r="AD73" i="65052"/>
  <c r="AE97" i="65052"/>
  <c r="EQ22" i="65037"/>
  <c r="IU96" i="65037"/>
  <c r="IT125" i="65037"/>
  <c r="IY40" i="65037"/>
  <c r="FE40" i="65037" s="1"/>
  <c r="IX98" i="65037"/>
  <c r="IT103" i="65037"/>
  <c r="IU45" i="65037"/>
  <c r="IQ134" i="65037"/>
  <c r="IP163" i="65037"/>
  <c r="IQ100" i="65037"/>
  <c r="IP129" i="65037"/>
  <c r="IP123" i="65037"/>
  <c r="IQ94" i="65037"/>
  <c r="IQ128" i="65037"/>
  <c r="IP157" i="65037"/>
  <c r="IP156" i="65037"/>
  <c r="IQ127" i="65037"/>
  <c r="II150" i="65037"/>
  <c r="IH179" i="65037"/>
  <c r="II179" i="65037" s="1"/>
  <c r="IM148" i="65037"/>
  <c r="IL177" i="65037"/>
  <c r="IH187" i="65037"/>
  <c r="II187" i="65037" s="1"/>
  <c r="II158" i="65037"/>
  <c r="IQ120" i="65037"/>
  <c r="IP149" i="65037"/>
  <c r="IX88" i="65037"/>
  <c r="IY30" i="65037"/>
  <c r="FE30" i="65037" s="1"/>
  <c r="IP115" i="65037"/>
  <c r="IQ86" i="65037"/>
  <c r="IX95" i="65037"/>
  <c r="IY37" i="65037"/>
  <c r="FE37" i="65037" s="1"/>
  <c r="IL171" i="65037"/>
  <c r="IM171" i="65037" s="1"/>
  <c r="IM142" i="65037"/>
  <c r="IQ124" i="65037"/>
  <c r="IP153" i="65037"/>
  <c r="IM162" i="65037"/>
  <c r="IL191" i="65037"/>
  <c r="IM191" i="65037" s="1"/>
  <c r="IQ130" i="65037"/>
  <c r="IP159" i="65037"/>
  <c r="IQ113" i="65037"/>
  <c r="IP142" i="65037"/>
  <c r="IU84" i="65037"/>
  <c r="IT113" i="65037"/>
  <c r="IT134" i="65037"/>
  <c r="IU105" i="65037"/>
  <c r="IT86" i="65037"/>
  <c r="IU28" i="65037"/>
  <c r="IX102" i="65037"/>
  <c r="IY44" i="65037"/>
  <c r="FE44" i="65037" s="1"/>
  <c r="IY48" i="65037"/>
  <c r="FE48" i="65037" s="1"/>
  <c r="IX106" i="65037"/>
  <c r="IT126" i="65037"/>
  <c r="IU97" i="65037"/>
  <c r="IU88" i="65037"/>
  <c r="IT117" i="65037"/>
  <c r="IY25" i="65037"/>
  <c r="FE25" i="65037" s="1"/>
  <c r="IX83" i="65037"/>
  <c r="IX96" i="65037"/>
  <c r="IY38" i="65037"/>
  <c r="FE38" i="65037" s="1"/>
  <c r="IX91" i="65037"/>
  <c r="IY33" i="65037"/>
  <c r="FE33" i="65037" s="1"/>
  <c r="IY29" i="65037"/>
  <c r="FE29" i="65037" s="1"/>
  <c r="IX87" i="65037"/>
  <c r="IT119" i="65037"/>
  <c r="IU90" i="65037"/>
  <c r="IY26" i="65037"/>
  <c r="FE26" i="65037" s="1"/>
  <c r="IX84" i="65037"/>
  <c r="IL180" i="65037"/>
  <c r="IM180" i="65037" s="1"/>
  <c r="IM151" i="65037"/>
  <c r="IM147" i="65037"/>
  <c r="IL176" i="65037"/>
  <c r="IM176" i="65037" s="1"/>
  <c r="IP121" i="65037"/>
  <c r="IQ92" i="65037"/>
  <c r="ER42" i="65037"/>
  <c r="AE90" i="65052" s="1"/>
  <c r="IX42" i="65037"/>
  <c r="IX93" i="65037"/>
  <c r="IY35" i="65037"/>
  <c r="FE35" i="65037" s="1"/>
  <c r="IX101" i="65037"/>
  <c r="IY43" i="65037"/>
  <c r="FE43" i="65037" s="1"/>
  <c r="IP143" i="65037"/>
  <c r="IQ114" i="65037"/>
  <c r="IU104" i="65037"/>
  <c r="IT133" i="65037"/>
  <c r="IT118" i="65037"/>
  <c r="IU89" i="65037"/>
  <c r="IU99" i="65037"/>
  <c r="IT128" i="65037"/>
  <c r="IY32" i="65037"/>
  <c r="FE32" i="65037" s="1"/>
  <c r="IX90" i="65037"/>
  <c r="IL182" i="65037"/>
  <c r="IM182" i="65037" s="1"/>
  <c r="IM153" i="65037"/>
  <c r="IL183" i="65037"/>
  <c r="IM154" i="65037"/>
  <c r="IM132" i="65037"/>
  <c r="IL161" i="65037"/>
  <c r="IP154" i="65037"/>
  <c r="IX28" i="65037"/>
  <c r="ER28" i="65037"/>
  <c r="AE76" i="65052" s="1"/>
  <c r="IH181" i="65037"/>
  <c r="II181" i="65037" s="1"/>
  <c r="II152" i="65037"/>
  <c r="IU83" i="65037"/>
  <c r="IT112" i="65037"/>
  <c r="IY27" i="65037"/>
  <c r="FE27" i="65037" s="1"/>
  <c r="IX85" i="65037"/>
  <c r="IT120" i="65037"/>
  <c r="IU91" i="65037"/>
  <c r="IL185" i="65037"/>
  <c r="IM185" i="65037" s="1"/>
  <c r="IM156" i="65037"/>
  <c r="IM149" i="65037"/>
  <c r="IL178" i="65037"/>
  <c r="IM178" i="65037" s="1"/>
  <c r="IM160" i="65037"/>
  <c r="IL189" i="65037"/>
  <c r="IM189" i="65037" s="1"/>
  <c r="IT92" i="65037"/>
  <c r="IU34" i="65037"/>
  <c r="IP141" i="65037"/>
  <c r="IT136" i="65037"/>
  <c r="IU107" i="65037"/>
  <c r="IU98" i="65037"/>
  <c r="IT127" i="65037"/>
  <c r="IQ117" i="65037"/>
  <c r="IP146" i="65037"/>
  <c r="IP147" i="65037"/>
  <c r="IQ118" i="65037"/>
  <c r="ER36" i="65037"/>
  <c r="AE84" i="65052" s="1"/>
  <c r="IX36" i="65037"/>
  <c r="IM146" i="65037"/>
  <c r="IL175" i="65037"/>
  <c r="IM175" i="65037" s="1"/>
  <c r="IT122" i="65037"/>
  <c r="IU93" i="65037"/>
  <c r="IQ131" i="65037"/>
  <c r="IP160" i="65037"/>
  <c r="IY39" i="65037"/>
  <c r="FE39" i="65037" s="1"/>
  <c r="IX97" i="65037"/>
  <c r="IL193" i="65037"/>
  <c r="IM193" i="65037" s="1"/>
  <c r="IM164" i="65037"/>
  <c r="IT131" i="65037"/>
  <c r="IU102" i="65037"/>
  <c r="IT100" i="65037"/>
  <c r="IU42" i="65037"/>
  <c r="IX89" i="65037"/>
  <c r="IY31" i="65037"/>
  <c r="FE31" i="65037" s="1"/>
  <c r="IL186" i="65037"/>
  <c r="IM186" i="65037" s="1"/>
  <c r="IM157" i="65037"/>
  <c r="IY49" i="65037"/>
  <c r="FE49" i="65037" s="1"/>
  <c r="IX107" i="65037"/>
  <c r="IU95" i="65037"/>
  <c r="IT124" i="65037"/>
  <c r="IP165" i="65037"/>
  <c r="IQ136" i="65037"/>
  <c r="IM145" i="65037"/>
  <c r="IL174" i="65037"/>
  <c r="IM174" i="65037" s="1"/>
  <c r="IL192" i="65037"/>
  <c r="IM192" i="65037" s="1"/>
  <c r="IM163" i="65037"/>
  <c r="IM115" i="65037"/>
  <c r="IL144" i="65037"/>
  <c r="IU87" i="65037"/>
  <c r="IT116" i="65037"/>
  <c r="IM123" i="65037"/>
  <c r="IL152" i="65037"/>
  <c r="IX45" i="65037"/>
  <c r="ER45" i="65037"/>
  <c r="AE93" i="65052" s="1"/>
  <c r="II161" i="65037"/>
  <c r="IH190" i="65037"/>
  <c r="IQ135" i="65037"/>
  <c r="IP164" i="65037"/>
  <c r="IY41" i="65037"/>
  <c r="FE41" i="65037" s="1"/>
  <c r="IX99" i="65037"/>
  <c r="IP148" i="65037"/>
  <c r="IX34" i="65037"/>
  <c r="ER34" i="65037"/>
  <c r="AE82" i="65052" s="1"/>
  <c r="IT130" i="65037"/>
  <c r="IU101" i="65037"/>
  <c r="IT114" i="65037"/>
  <c r="IU85" i="65037"/>
  <c r="IM165" i="65037"/>
  <c r="IL194" i="65037"/>
  <c r="IM194" i="65037" s="1"/>
  <c r="IM159" i="65037"/>
  <c r="IL188" i="65037"/>
  <c r="IM188" i="65037" s="1"/>
  <c r="IU106" i="65037"/>
  <c r="IT135" i="65037"/>
  <c r="IT94" i="65037"/>
  <c r="IU36" i="65037"/>
  <c r="IL150" i="65037"/>
  <c r="IM121" i="65037"/>
  <c r="IY47" i="65037"/>
  <c r="FE47" i="65037" s="1"/>
  <c r="IX105" i="65037"/>
  <c r="IP162" i="65037"/>
  <c r="IQ133" i="65037"/>
  <c r="IP132" i="65037"/>
  <c r="IQ103" i="65037"/>
  <c r="IP145" i="65037"/>
  <c r="IQ116" i="65037"/>
  <c r="IM143" i="65037"/>
  <c r="IL172" i="65037"/>
  <c r="IM172" i="65037" s="1"/>
  <c r="IM129" i="65037"/>
  <c r="IL158" i="65037"/>
  <c r="IM155" i="65037"/>
  <c r="IL184" i="65037"/>
  <c r="IP151" i="65037"/>
  <c r="IQ122" i="65037"/>
  <c r="II144" i="65037"/>
  <c r="IH173" i="65037"/>
  <c r="II173" i="65037" s="1"/>
  <c r="IP155" i="65037"/>
  <c r="IL170" i="65037"/>
  <c r="IM141" i="65037"/>
  <c r="IX104" i="65037"/>
  <c r="IY46" i="65037"/>
  <c r="FE46" i="65037" s="1"/>
  <c r="DS49" i="65037" l="1"/>
  <c r="BI78" i="65037" s="1"/>
  <c r="ET194" i="65037"/>
  <c r="EU194" i="65037" s="1"/>
  <c r="ET193" i="65037"/>
  <c r="EU193" i="65037" s="1"/>
  <c r="DS48" i="65037"/>
  <c r="DS47" i="65037"/>
  <c r="ET192" i="65037"/>
  <c r="EU192" i="65037" s="1"/>
  <c r="ET191" i="65037"/>
  <c r="EU191" i="65037" s="1"/>
  <c r="DS46" i="65037"/>
  <c r="AD72" i="65052"/>
  <c r="AF85" i="65052" s="1"/>
  <c r="DS45" i="65037"/>
  <c r="ET190" i="65037"/>
  <c r="EU190" i="65037" s="1"/>
  <c r="ET189" i="65037"/>
  <c r="EU189" i="65037" s="1"/>
  <c r="DS44" i="65037"/>
  <c r="ET188" i="65037"/>
  <c r="EU188" i="65037" s="1"/>
  <c r="DS43" i="65037"/>
  <c r="ET187" i="65037"/>
  <c r="EU187" i="65037" s="1"/>
  <c r="DS42" i="65037"/>
  <c r="DS41" i="65037"/>
  <c r="ET186" i="65037"/>
  <c r="EU186" i="65037" s="1"/>
  <c r="ET185" i="65037"/>
  <c r="EU185" i="65037" s="1"/>
  <c r="DS40" i="65037"/>
  <c r="DS39" i="65037"/>
  <c r="ET184" i="65037"/>
  <c r="EU184" i="65037" s="1"/>
  <c r="DS38" i="65037"/>
  <c r="ET183" i="65037"/>
  <c r="EU183" i="65037" s="1"/>
  <c r="DS37" i="65037"/>
  <c r="DS31" i="65037"/>
  <c r="ET174" i="65037"/>
  <c r="EU174" i="65037" s="1"/>
  <c r="ET182" i="65037"/>
  <c r="EU182" i="65037" s="1"/>
  <c r="DS28" i="65037"/>
  <c r="ET179" i="65037"/>
  <c r="EU179" i="65037" s="1"/>
  <c r="ET177" i="65037"/>
  <c r="EU177" i="65037" s="1"/>
  <c r="DS33" i="65037"/>
  <c r="DS26" i="65037"/>
  <c r="DS32" i="65037"/>
  <c r="DS27" i="65037"/>
  <c r="DS25" i="65037"/>
  <c r="ET175" i="65037"/>
  <c r="EU175" i="65037" s="1"/>
  <c r="ET172" i="65037"/>
  <c r="EU172" i="65037" s="1"/>
  <c r="DS29" i="65037"/>
  <c r="DS35" i="65037"/>
  <c r="DS30" i="65037"/>
  <c r="ET180" i="65037"/>
  <c r="EU180" i="65037" s="1"/>
  <c r="DS34" i="65037"/>
  <c r="ET171" i="65037"/>
  <c r="EU171" i="65037" s="1"/>
  <c r="ET176" i="65037"/>
  <c r="EU176" i="65037" s="1"/>
  <c r="ET173" i="65037"/>
  <c r="EU173" i="65037" s="1"/>
  <c r="DS36" i="65037"/>
  <c r="ET178" i="65037"/>
  <c r="EU178" i="65037" s="1"/>
  <c r="ET181" i="65037"/>
  <c r="EU181" i="65037" s="1"/>
  <c r="ET170" i="65037"/>
  <c r="EU170" i="65037" s="1"/>
  <c r="IM158" i="65037"/>
  <c r="IL187" i="65037"/>
  <c r="IM187" i="65037" s="1"/>
  <c r="IP193" i="65037"/>
  <c r="IQ193" i="65037" s="1"/>
  <c r="IQ164" i="65037"/>
  <c r="IY97" i="65037"/>
  <c r="FE97" i="65037" s="1"/>
  <c r="IX126" i="65037"/>
  <c r="IU122" i="65037"/>
  <c r="IT151" i="65037"/>
  <c r="ER22" i="65037"/>
  <c r="IQ141" i="65037"/>
  <c r="IP170" i="65037"/>
  <c r="IU120" i="65037"/>
  <c r="IT149" i="65037"/>
  <c r="IU128" i="65037"/>
  <c r="IT157" i="65037"/>
  <c r="IU133" i="65037"/>
  <c r="IT162" i="65037"/>
  <c r="IY93" i="65037"/>
  <c r="FE93" i="65037" s="1"/>
  <c r="IX122" i="65037"/>
  <c r="IT148" i="65037"/>
  <c r="IY102" i="65037"/>
  <c r="FE102" i="65037" s="1"/>
  <c r="IX131" i="65037"/>
  <c r="IU134" i="65037"/>
  <c r="IT163" i="65037"/>
  <c r="IQ163" i="65037"/>
  <c r="IP192" i="65037"/>
  <c r="IQ192" i="65037" s="1"/>
  <c r="IQ145" i="65037"/>
  <c r="IP174" i="65037"/>
  <c r="IQ174" i="65037" s="1"/>
  <c r="IQ162" i="65037"/>
  <c r="IP191" i="65037"/>
  <c r="IQ191" i="65037" s="1"/>
  <c r="IT143" i="65037"/>
  <c r="IU114" i="65037"/>
  <c r="IY99" i="65037"/>
  <c r="FE99" i="65037" s="1"/>
  <c r="IX128" i="65037"/>
  <c r="IY45" i="65037"/>
  <c r="FE45" i="65037" s="1"/>
  <c r="IX103" i="65037"/>
  <c r="IU116" i="65037"/>
  <c r="IT145" i="65037"/>
  <c r="IY107" i="65037"/>
  <c r="FE107" i="65037" s="1"/>
  <c r="IX136" i="65037"/>
  <c r="IT129" i="65037"/>
  <c r="IU100" i="65037"/>
  <c r="IQ147" i="65037"/>
  <c r="IP176" i="65037"/>
  <c r="IQ176" i="65037" s="1"/>
  <c r="IT141" i="65037"/>
  <c r="IL190" i="65037"/>
  <c r="IM190" i="65037" s="1"/>
  <c r="IM161" i="65037"/>
  <c r="IX130" i="65037"/>
  <c r="IY101" i="65037"/>
  <c r="FE101" i="65037" s="1"/>
  <c r="IY84" i="65037"/>
  <c r="FE84" i="65037" s="1"/>
  <c r="IX113" i="65037"/>
  <c r="IX125" i="65037"/>
  <c r="IY96" i="65037"/>
  <c r="FE96" i="65037" s="1"/>
  <c r="IU117" i="65037"/>
  <c r="IT146" i="65037"/>
  <c r="IT155" i="65037"/>
  <c r="IU86" i="65037"/>
  <c r="IT115" i="65037"/>
  <c r="IQ153" i="65037"/>
  <c r="IP182" i="65037"/>
  <c r="IQ182" i="65037" s="1"/>
  <c r="IQ115" i="65037"/>
  <c r="IP144" i="65037"/>
  <c r="IQ123" i="65037"/>
  <c r="IP152" i="65037"/>
  <c r="IX127" i="65037"/>
  <c r="IY98" i="65037"/>
  <c r="FE98" i="65037" s="1"/>
  <c r="IQ155" i="65037"/>
  <c r="IP184" i="65037"/>
  <c r="IQ151" i="65037"/>
  <c r="IP180" i="65037"/>
  <c r="IQ180" i="65037" s="1"/>
  <c r="IY105" i="65037"/>
  <c r="FE105" i="65037" s="1"/>
  <c r="IX134" i="65037"/>
  <c r="IU94" i="65037"/>
  <c r="IT123" i="65037"/>
  <c r="IX92" i="65037"/>
  <c r="IY34" i="65037"/>
  <c r="FE34" i="65037" s="1"/>
  <c r="IL181" i="65037"/>
  <c r="IM181" i="65037" s="1"/>
  <c r="IM152" i="65037"/>
  <c r="IQ165" i="65037"/>
  <c r="IP194" i="65037"/>
  <c r="IQ194" i="65037" s="1"/>
  <c r="IQ160" i="65037"/>
  <c r="IP189" i="65037"/>
  <c r="IQ189" i="65037" s="1"/>
  <c r="IQ146" i="65037"/>
  <c r="IP175" i="65037"/>
  <c r="IQ175" i="65037" s="1"/>
  <c r="IT121" i="65037"/>
  <c r="IU92" i="65037"/>
  <c r="IY28" i="65037"/>
  <c r="FE28" i="65037" s="1"/>
  <c r="IX86" i="65037"/>
  <c r="IY90" i="65037"/>
  <c r="FE90" i="65037" s="1"/>
  <c r="IX119" i="65037"/>
  <c r="IQ121" i="65037"/>
  <c r="IP150" i="65037"/>
  <c r="IX112" i="65037"/>
  <c r="IY83" i="65037"/>
  <c r="FE83" i="65037" s="1"/>
  <c r="IX135" i="65037"/>
  <c r="IY106" i="65037"/>
  <c r="FE106" i="65037" s="1"/>
  <c r="IU113" i="65037"/>
  <c r="IT142" i="65037"/>
  <c r="IQ142" i="65037"/>
  <c r="IP171" i="65037"/>
  <c r="IQ171" i="65037" s="1"/>
  <c r="IP188" i="65037"/>
  <c r="IQ188" i="65037" s="1"/>
  <c r="IQ159" i="65037"/>
  <c r="IQ156" i="65037"/>
  <c r="IP185" i="65037"/>
  <c r="IQ185" i="65037" s="1"/>
  <c r="IP186" i="65037"/>
  <c r="IQ186" i="65037" s="1"/>
  <c r="IQ157" i="65037"/>
  <c r="IQ129" i="65037"/>
  <c r="IP158" i="65037"/>
  <c r="IY104" i="65037"/>
  <c r="FE104" i="65037" s="1"/>
  <c r="IX133" i="65037"/>
  <c r="IQ132" i="65037"/>
  <c r="IP161" i="65037"/>
  <c r="IM150" i="65037"/>
  <c r="IL179" i="65037"/>
  <c r="IM179" i="65037" s="1"/>
  <c r="IU135" i="65037"/>
  <c r="IT164" i="65037"/>
  <c r="IU130" i="65037"/>
  <c r="IT159" i="65037"/>
  <c r="IP177" i="65037"/>
  <c r="IQ148" i="65037"/>
  <c r="IL173" i="65037"/>
  <c r="IM173" i="65037" s="1"/>
  <c r="IM144" i="65037"/>
  <c r="IT153" i="65037"/>
  <c r="IU124" i="65037"/>
  <c r="IY89" i="65037"/>
  <c r="FE89" i="65037" s="1"/>
  <c r="IX118" i="65037"/>
  <c r="IT160" i="65037"/>
  <c r="IU131" i="65037"/>
  <c r="IX94" i="65037"/>
  <c r="IY36" i="65037"/>
  <c r="FE36" i="65037" s="1"/>
  <c r="IT156" i="65037"/>
  <c r="IU127" i="65037"/>
  <c r="IT165" i="65037"/>
  <c r="IU136" i="65037"/>
  <c r="IY85" i="65037"/>
  <c r="FE85" i="65037" s="1"/>
  <c r="IX114" i="65037"/>
  <c r="IQ154" i="65037"/>
  <c r="IP183" i="65037"/>
  <c r="IU118" i="65037"/>
  <c r="IT147" i="65037"/>
  <c r="IP172" i="65037"/>
  <c r="IQ172" i="65037" s="1"/>
  <c r="IQ143" i="65037"/>
  <c r="IY42" i="65037"/>
  <c r="FE42" i="65037" s="1"/>
  <c r="IX100" i="65037"/>
  <c r="IX116" i="65037"/>
  <c r="IY87" i="65037"/>
  <c r="FE87" i="65037" s="1"/>
  <c r="IY91" i="65037"/>
  <c r="FE91" i="65037" s="1"/>
  <c r="IX120" i="65037"/>
  <c r="IY95" i="65037"/>
  <c r="FE95" i="65037" s="1"/>
  <c r="IX124" i="65037"/>
  <c r="IY88" i="65037"/>
  <c r="FE88" i="65037" s="1"/>
  <c r="IX117" i="65037"/>
  <c r="IQ149" i="65037"/>
  <c r="IP178" i="65037"/>
  <c r="IQ178" i="65037" s="1"/>
  <c r="IU103" i="65037"/>
  <c r="IT132" i="65037"/>
  <c r="IT154" i="65037"/>
  <c r="CM49" i="65037" l="1"/>
  <c r="CL49" i="65037" s="1"/>
  <c r="BI77" i="65037"/>
  <c r="CM48" i="65037"/>
  <c r="BI76" i="65037"/>
  <c r="CM47" i="65037"/>
  <c r="CM46" i="65037"/>
  <c r="BI75" i="65037"/>
  <c r="AF75" i="65052"/>
  <c r="AF77" i="65052"/>
  <c r="AF96" i="65052"/>
  <c r="AF76" i="65052"/>
  <c r="AF79" i="65052"/>
  <c r="AF86" i="65052"/>
  <c r="AF89" i="65052"/>
  <c r="AF87" i="65052"/>
  <c r="AF88" i="65052"/>
  <c r="AF74" i="65052"/>
  <c r="AF84" i="65052"/>
  <c r="AF80" i="65052"/>
  <c r="AF82" i="65052"/>
  <c r="AF97" i="65052"/>
  <c r="AF95" i="65052"/>
  <c r="AF81" i="65052"/>
  <c r="AF91" i="65052"/>
  <c r="AF73" i="65052"/>
  <c r="AF94" i="65052"/>
  <c r="AF92" i="65052"/>
  <c r="AF93" i="65052"/>
  <c r="AF90" i="65052"/>
  <c r="AF78" i="65052"/>
  <c r="AF83" i="65052"/>
  <c r="BI74" i="65037"/>
  <c r="CM45" i="65037"/>
  <c r="CJ45" i="65037" s="1"/>
  <c r="BI73" i="65037"/>
  <c r="CM44" i="65037"/>
  <c r="CJ44" i="65037" s="1"/>
  <c r="BI72" i="65037"/>
  <c r="CM43" i="65037"/>
  <c r="CJ43" i="65037" s="1"/>
  <c r="BI71" i="65037"/>
  <c r="CM42" i="65037"/>
  <c r="CJ42" i="65037" s="1"/>
  <c r="BI70" i="65037"/>
  <c r="CM41" i="65037"/>
  <c r="CJ41" i="65037" s="1"/>
  <c r="BI69" i="65037"/>
  <c r="CM40" i="65037"/>
  <c r="CJ40" i="65037" s="1"/>
  <c r="BI68" i="65037"/>
  <c r="CM39" i="65037"/>
  <c r="CJ39" i="65037" s="1"/>
  <c r="BI67" i="65037"/>
  <c r="CM38" i="65037"/>
  <c r="FB47" i="65037"/>
  <c r="FB39" i="65037"/>
  <c r="BI61" i="65037"/>
  <c r="CM32" i="65037"/>
  <c r="BI60" i="65037"/>
  <c r="CM31" i="65037"/>
  <c r="BI59" i="65037"/>
  <c r="CM30" i="65037"/>
  <c r="BI55" i="65037"/>
  <c r="CM26" i="65037"/>
  <c r="BI57" i="65037"/>
  <c r="CM28" i="65037"/>
  <c r="BI66" i="65037"/>
  <c r="CM37" i="65037"/>
  <c r="BI64" i="65037"/>
  <c r="CM35" i="65037"/>
  <c r="BI54" i="65037"/>
  <c r="CM25" i="65037"/>
  <c r="BI62" i="65037"/>
  <c r="CM33" i="65037"/>
  <c r="FB49" i="65037"/>
  <c r="BI65" i="65037"/>
  <c r="CM36" i="65037"/>
  <c r="BI63" i="65037"/>
  <c r="CM34" i="65037"/>
  <c r="BI58" i="65037"/>
  <c r="CM29" i="65037"/>
  <c r="BI56" i="65037"/>
  <c r="CM27" i="65037"/>
  <c r="FB29" i="65037"/>
  <c r="FB48" i="65037"/>
  <c r="FB37" i="65037"/>
  <c r="FB27" i="65037"/>
  <c r="FB25" i="65037"/>
  <c r="FB43" i="65037"/>
  <c r="FB35" i="65037"/>
  <c r="FE24" i="65037"/>
  <c r="FC49" i="65037" s="1"/>
  <c r="FD49" i="65037" s="1"/>
  <c r="FB44" i="65037"/>
  <c r="FB38" i="65037"/>
  <c r="IT161" i="65037"/>
  <c r="IU132" i="65037"/>
  <c r="IY124" i="65037"/>
  <c r="IX153" i="65037"/>
  <c r="IT176" i="65037"/>
  <c r="IU176" i="65037" s="1"/>
  <c r="IU147" i="65037"/>
  <c r="IT183" i="65037"/>
  <c r="IU154" i="65037"/>
  <c r="IY117" i="65037"/>
  <c r="IX146" i="65037"/>
  <c r="IY120" i="65037"/>
  <c r="IX149" i="65037"/>
  <c r="IX143" i="65037"/>
  <c r="IY114" i="65037"/>
  <c r="IU165" i="65037"/>
  <c r="IT194" i="65037"/>
  <c r="IU194" i="65037" s="1"/>
  <c r="IU164" i="65037"/>
  <c r="IT193" i="65037"/>
  <c r="IU193" i="65037" s="1"/>
  <c r="IU142" i="65037"/>
  <c r="IT171" i="65037"/>
  <c r="IU171" i="65037" s="1"/>
  <c r="IP179" i="65037"/>
  <c r="IQ179" i="65037" s="1"/>
  <c r="IQ150" i="65037"/>
  <c r="IT150" i="65037"/>
  <c r="IU121" i="65037"/>
  <c r="IT152" i="65037"/>
  <c r="IU123" i="65037"/>
  <c r="IX163" i="65037"/>
  <c r="IY134" i="65037"/>
  <c r="IQ152" i="65037"/>
  <c r="IP181" i="65037"/>
  <c r="IQ181" i="65037" s="1"/>
  <c r="IU115" i="65037"/>
  <c r="IT144" i="65037"/>
  <c r="IY113" i="65037"/>
  <c r="IX142" i="65037"/>
  <c r="IU145" i="65037"/>
  <c r="IT174" i="65037"/>
  <c r="IU174" i="65037" s="1"/>
  <c r="IT192" i="65037"/>
  <c r="IU192" i="65037" s="1"/>
  <c r="IU163" i="65037"/>
  <c r="IU151" i="65037"/>
  <c r="IT180" i="65037"/>
  <c r="IU180" i="65037" s="1"/>
  <c r="IX155" i="65037"/>
  <c r="FB32" i="65037"/>
  <c r="IT189" i="65037"/>
  <c r="IU189" i="65037" s="1"/>
  <c r="IU160" i="65037"/>
  <c r="IT182" i="65037"/>
  <c r="IU182" i="65037" s="1"/>
  <c r="IU153" i="65037"/>
  <c r="IP190" i="65037"/>
  <c r="IQ190" i="65037" s="1"/>
  <c r="IQ161" i="65037"/>
  <c r="IQ158" i="65037"/>
  <c r="IP187" i="65037"/>
  <c r="IQ187" i="65037" s="1"/>
  <c r="IY135" i="65037"/>
  <c r="IX164" i="65037"/>
  <c r="FB33" i="65037"/>
  <c r="IX121" i="65037"/>
  <c r="IY92" i="65037"/>
  <c r="FE92" i="65037" s="1"/>
  <c r="IT184" i="65037"/>
  <c r="IU155" i="65037"/>
  <c r="IU141" i="65037"/>
  <c r="IT170" i="65037"/>
  <c r="IU129" i="65037"/>
  <c r="IT158" i="65037"/>
  <c r="IX157" i="65037"/>
  <c r="IY128" i="65037"/>
  <c r="IU162" i="65037"/>
  <c r="IT191" i="65037"/>
  <c r="IU191" i="65037" s="1"/>
  <c r="IT178" i="65037"/>
  <c r="IU178" i="65037" s="1"/>
  <c r="IU149" i="65037"/>
  <c r="DS22" i="65037"/>
  <c r="ER19" i="65037" s="1"/>
  <c r="FB31" i="65037"/>
  <c r="IX147" i="65037"/>
  <c r="IY118" i="65037"/>
  <c r="IU159" i="65037"/>
  <c r="IT188" i="65037"/>
  <c r="IU188" i="65037" s="1"/>
  <c r="IY133" i="65037"/>
  <c r="IX162" i="65037"/>
  <c r="IX154" i="65037"/>
  <c r="IX165" i="65037"/>
  <c r="IY136" i="65037"/>
  <c r="IT172" i="65037"/>
  <c r="IU172" i="65037" s="1"/>
  <c r="IU143" i="65037"/>
  <c r="FB30" i="65037"/>
  <c r="IX145" i="65037"/>
  <c r="IY116" i="65037"/>
  <c r="IX129" i="65037"/>
  <c r="IY100" i="65037"/>
  <c r="FE100" i="65037" s="1"/>
  <c r="IT185" i="65037"/>
  <c r="IU185" i="65037" s="1"/>
  <c r="IU156" i="65037"/>
  <c r="IX123" i="65037"/>
  <c r="IY94" i="65037"/>
  <c r="FE94" i="65037" s="1"/>
  <c r="FB40" i="65037"/>
  <c r="IX141" i="65037"/>
  <c r="IX148" i="65037"/>
  <c r="IY86" i="65037"/>
  <c r="FE86" i="65037" s="1"/>
  <c r="IX115" i="65037"/>
  <c r="IX156" i="65037"/>
  <c r="IY127" i="65037"/>
  <c r="IP173" i="65037"/>
  <c r="IQ173" i="65037" s="1"/>
  <c r="IQ144" i="65037"/>
  <c r="IT175" i="65037"/>
  <c r="IU175" i="65037" s="1"/>
  <c r="IU146" i="65037"/>
  <c r="IY130" i="65037"/>
  <c r="IX159" i="65037"/>
  <c r="IY103" i="65037"/>
  <c r="FE103" i="65037" s="1"/>
  <c r="IX132" i="65037"/>
  <c r="IY131" i="65037"/>
  <c r="IX160" i="65037"/>
  <c r="IT177" i="65037"/>
  <c r="IU148" i="65037"/>
  <c r="IY122" i="65037"/>
  <c r="IX151" i="65037"/>
  <c r="IU157" i="65037"/>
  <c r="IT186" i="65037"/>
  <c r="IU186" i="65037" s="1"/>
  <c r="FB46" i="65037"/>
  <c r="FB41" i="65037"/>
  <c r="FB26" i="65037"/>
  <c r="CK49" i="65037" l="1"/>
  <c r="CJ49" i="65037"/>
  <c r="FC47" i="65037"/>
  <c r="FD47" i="65037" s="1"/>
  <c r="FC48" i="65037"/>
  <c r="FD48" i="65037" s="1"/>
  <c r="CJ48" i="65037"/>
  <c r="CL48" i="65037"/>
  <c r="CK48" i="65037" s="1"/>
  <c r="CJ47" i="65037"/>
  <c r="CL47" i="65037"/>
  <c r="CK47" i="65037" s="1"/>
  <c r="CJ46" i="65037"/>
  <c r="CL46" i="65037"/>
  <c r="CK46" i="65037" s="1"/>
  <c r="FC44" i="65037"/>
  <c r="FD44" i="65037" s="1"/>
  <c r="FC46" i="65037"/>
  <c r="FD46" i="65037" s="1"/>
  <c r="FC45" i="65037"/>
  <c r="FD45" i="65037" s="1"/>
  <c r="CL45" i="65037"/>
  <c r="CK45" i="65037" s="1"/>
  <c r="CL44" i="65037"/>
  <c r="CK44" i="65037" s="1"/>
  <c r="FC41" i="65037"/>
  <c r="FD41" i="65037" s="1"/>
  <c r="FC43" i="65037"/>
  <c r="FD43" i="65037" s="1"/>
  <c r="CL43" i="65037"/>
  <c r="CK43" i="65037" s="1"/>
  <c r="FC42" i="65037"/>
  <c r="FD42" i="65037" s="1"/>
  <c r="CL42" i="65037"/>
  <c r="CK42" i="65037" s="1"/>
  <c r="CL41" i="65037"/>
  <c r="CK41" i="65037" s="1"/>
  <c r="FC39" i="65037"/>
  <c r="FD39" i="65037" s="1"/>
  <c r="FC40" i="65037"/>
  <c r="FD40" i="65037" s="1"/>
  <c r="CL40" i="65037"/>
  <c r="CK40" i="65037" s="1"/>
  <c r="CL39" i="65037"/>
  <c r="CK39" i="65037" s="1"/>
  <c r="FC36" i="65037"/>
  <c r="FD36" i="65037" s="1"/>
  <c r="FC38" i="65037"/>
  <c r="FD38" i="65037" s="1"/>
  <c r="CL38" i="65037"/>
  <c r="CK38" i="65037" s="1"/>
  <c r="CL27" i="65037"/>
  <c r="CK27" i="65037" s="1"/>
  <c r="CL34" i="65037"/>
  <c r="CK34" i="65037" s="1"/>
  <c r="CL33" i="65037"/>
  <c r="CK33" i="65037" s="1"/>
  <c r="CL35" i="65037"/>
  <c r="CK35" i="65037" s="1"/>
  <c r="CL28" i="65037"/>
  <c r="CK28" i="65037" s="1"/>
  <c r="CL30" i="65037"/>
  <c r="CK30" i="65037" s="1"/>
  <c r="CL31" i="65037"/>
  <c r="CK31" i="65037" s="1"/>
  <c r="ER21" i="65037"/>
  <c r="FB20" i="65037"/>
  <c r="FC20" i="65037" s="1"/>
  <c r="FC27" i="65037"/>
  <c r="FD27" i="65037" s="1"/>
  <c r="FC26" i="65037"/>
  <c r="FD26" i="65037" s="1"/>
  <c r="FC32" i="65037"/>
  <c r="FD32" i="65037" s="1"/>
  <c r="FC25" i="65037"/>
  <c r="FD25" i="65037" s="1"/>
  <c r="FC37" i="65037"/>
  <c r="FD37" i="65037" s="1"/>
  <c r="FC29" i="65037"/>
  <c r="FD29" i="65037" s="1"/>
  <c r="FC31" i="65037"/>
  <c r="FD31" i="65037" s="1"/>
  <c r="FC30" i="65037"/>
  <c r="FD30" i="65037" s="1"/>
  <c r="FC33" i="65037"/>
  <c r="FD33" i="65037" s="1"/>
  <c r="FC35" i="65037"/>
  <c r="FD35" i="65037" s="1"/>
  <c r="FC34" i="65037"/>
  <c r="FD34" i="65037" s="1"/>
  <c r="ER18" i="65037"/>
  <c r="FC28" i="65037"/>
  <c r="FD28" i="65037" s="1"/>
  <c r="CL29" i="65037"/>
  <c r="CK29" i="65037" s="1"/>
  <c r="CL36" i="65037"/>
  <c r="CK36" i="65037" s="1"/>
  <c r="CL25" i="65037"/>
  <c r="CK25" i="65037" s="1"/>
  <c r="CL37" i="65037"/>
  <c r="CK37" i="65037" s="1"/>
  <c r="CL26" i="65037"/>
  <c r="CK26" i="65037" s="1"/>
  <c r="CL32" i="65037"/>
  <c r="CK32" i="65037" s="1"/>
  <c r="FB28" i="65037"/>
  <c r="FB34" i="65037"/>
  <c r="FB36" i="65037"/>
  <c r="FB42" i="65037"/>
  <c r="IY115" i="65037"/>
  <c r="IX144" i="65037"/>
  <c r="IY121" i="65037"/>
  <c r="IX150" i="65037"/>
  <c r="IY164" i="65037"/>
  <c r="FE164" i="65037" s="1"/>
  <c r="IX193" i="65037"/>
  <c r="IY193" i="65037" s="1"/>
  <c r="IU152" i="65037"/>
  <c r="IT181" i="65037"/>
  <c r="IU181" i="65037" s="1"/>
  <c r="IY146" i="65037"/>
  <c r="FE146" i="65037" s="1"/>
  <c r="IX175" i="65037"/>
  <c r="IY175" i="65037" s="1"/>
  <c r="IX161" i="65037"/>
  <c r="IY132" i="65037"/>
  <c r="IY156" i="65037"/>
  <c r="FE156" i="65037" s="1"/>
  <c r="IX185" i="65037"/>
  <c r="IY185" i="65037" s="1"/>
  <c r="IX152" i="65037"/>
  <c r="IY123" i="65037"/>
  <c r="IY129" i="65037"/>
  <c r="IX158" i="65037"/>
  <c r="IY147" i="65037"/>
  <c r="FE147" i="65037" s="1"/>
  <c r="IX176" i="65037"/>
  <c r="IY176" i="65037" s="1"/>
  <c r="IX172" i="65037"/>
  <c r="IY172" i="65037" s="1"/>
  <c r="IY143" i="65037"/>
  <c r="FE143" i="65037" s="1"/>
  <c r="IT190" i="65037"/>
  <c r="IU190" i="65037" s="1"/>
  <c r="IU161" i="65037"/>
  <c r="FE82" i="65037"/>
  <c r="FC107" i="65037" s="1"/>
  <c r="FD107" i="65037" s="1"/>
  <c r="IX170" i="65037"/>
  <c r="IY141" i="65037"/>
  <c r="FE141" i="65037" s="1"/>
  <c r="IX186" i="65037"/>
  <c r="IY186" i="65037" s="1"/>
  <c r="IY157" i="65037"/>
  <c r="FE157" i="65037" s="1"/>
  <c r="IX184" i="65037"/>
  <c r="IY155" i="65037"/>
  <c r="FE155" i="65037" s="1"/>
  <c r="IX192" i="65037"/>
  <c r="IY192" i="65037" s="1"/>
  <c r="IY163" i="65037"/>
  <c r="FE163" i="65037" s="1"/>
  <c r="IT179" i="65037"/>
  <c r="IU179" i="65037" s="1"/>
  <c r="IU150" i="65037"/>
  <c r="IY149" i="65037"/>
  <c r="FE149" i="65037" s="1"/>
  <c r="IX178" i="65037"/>
  <c r="IY178" i="65037" s="1"/>
  <c r="IY153" i="65037"/>
  <c r="FE153" i="65037" s="1"/>
  <c r="IX182" i="65037"/>
  <c r="IY182" i="65037" s="1"/>
  <c r="FB45" i="65037"/>
  <c r="IX180" i="65037"/>
  <c r="IY180" i="65037" s="1"/>
  <c r="IY151" i="65037"/>
  <c r="FE151" i="65037" s="1"/>
  <c r="IX189" i="65037"/>
  <c r="IY189" i="65037" s="1"/>
  <c r="IY160" i="65037"/>
  <c r="FE160" i="65037" s="1"/>
  <c r="IY159" i="65037"/>
  <c r="FE159" i="65037" s="1"/>
  <c r="IX188" i="65037"/>
  <c r="IY188" i="65037" s="1"/>
  <c r="IY148" i="65037"/>
  <c r="FE148" i="65037" s="1"/>
  <c r="IX177" i="65037"/>
  <c r="IY145" i="65037"/>
  <c r="FE145" i="65037" s="1"/>
  <c r="IX174" i="65037"/>
  <c r="IY174" i="65037" s="1"/>
  <c r="IY165" i="65037"/>
  <c r="FE165" i="65037" s="1"/>
  <c r="IX194" i="65037"/>
  <c r="IY194" i="65037" s="1"/>
  <c r="IX183" i="65037"/>
  <c r="IY154" i="65037"/>
  <c r="FE154" i="65037" s="1"/>
  <c r="IY162" i="65037"/>
  <c r="FE162" i="65037" s="1"/>
  <c r="IX191" i="65037"/>
  <c r="IY191" i="65037" s="1"/>
  <c r="DT21" i="65037"/>
  <c r="DT19" i="65037"/>
  <c r="DT18" i="65037"/>
  <c r="DT20" i="65037"/>
  <c r="DV21" i="65037"/>
  <c r="DU20" i="65037"/>
  <c r="DV20" i="65037"/>
  <c r="DU19" i="65037"/>
  <c r="DV18" i="65037"/>
  <c r="DU18" i="65037"/>
  <c r="DV19" i="65037"/>
  <c r="DU21" i="65037"/>
  <c r="DX20" i="65037"/>
  <c r="DW20" i="65037"/>
  <c r="DX21" i="65037"/>
  <c r="DW21" i="65037"/>
  <c r="DW19" i="65037"/>
  <c r="DX18" i="65037"/>
  <c r="DW18" i="65037"/>
  <c r="DX19" i="65037"/>
  <c r="DY19" i="65037"/>
  <c r="DY20" i="65037"/>
  <c r="DY18" i="65037"/>
  <c r="DY21" i="65037"/>
  <c r="DZ19" i="65037"/>
  <c r="DZ18" i="65037"/>
  <c r="DZ21" i="65037"/>
  <c r="DZ20" i="65037"/>
  <c r="EB18" i="65037"/>
  <c r="EA20" i="65037"/>
  <c r="EB20" i="65037"/>
  <c r="EA18" i="65037"/>
  <c r="EB21" i="65037"/>
  <c r="EA19" i="65037"/>
  <c r="EB19" i="65037"/>
  <c r="EA21" i="65037"/>
  <c r="EC20" i="65037"/>
  <c r="ED18" i="65037"/>
  <c r="EC19" i="65037"/>
  <c r="ED19" i="65037"/>
  <c r="EC21" i="65037"/>
  <c r="ED21" i="65037"/>
  <c r="EC18" i="65037"/>
  <c r="ED20" i="65037"/>
  <c r="EF18" i="65037"/>
  <c r="EE20" i="65037"/>
  <c r="EE21" i="65037"/>
  <c r="EF20" i="65037"/>
  <c r="EF21" i="65037"/>
  <c r="EE18" i="65037"/>
  <c r="EF19" i="65037"/>
  <c r="EE19" i="65037"/>
  <c r="EG20" i="65037"/>
  <c r="EG18" i="65037"/>
  <c r="EG21" i="65037"/>
  <c r="EG19" i="65037"/>
  <c r="EH21" i="65037"/>
  <c r="EH20" i="65037"/>
  <c r="EH18" i="65037"/>
  <c r="EH19" i="65037"/>
  <c r="EI21" i="65037"/>
  <c r="EI20" i="65037"/>
  <c r="EI18" i="65037"/>
  <c r="EI19" i="65037"/>
  <c r="EJ19" i="65037"/>
  <c r="EJ20" i="65037"/>
  <c r="EJ18" i="65037"/>
  <c r="EJ21" i="65037"/>
  <c r="EK21" i="65037"/>
  <c r="EK18" i="65037"/>
  <c r="EK20" i="65037"/>
  <c r="EK19" i="65037"/>
  <c r="EL21" i="65037"/>
  <c r="EL18" i="65037"/>
  <c r="EL19" i="65037"/>
  <c r="EL20" i="65037"/>
  <c r="EM21" i="65037"/>
  <c r="EM19" i="65037"/>
  <c r="EM20" i="65037"/>
  <c r="EM18" i="65037"/>
  <c r="EN21" i="65037"/>
  <c r="EN20" i="65037"/>
  <c r="EN19" i="65037"/>
  <c r="EN18" i="65037"/>
  <c r="EO21" i="65037"/>
  <c r="EO19" i="65037"/>
  <c r="EO18" i="65037"/>
  <c r="EO20" i="65037"/>
  <c r="EP21" i="65037"/>
  <c r="EP18" i="65037"/>
  <c r="EP20" i="65037"/>
  <c r="EP19" i="65037"/>
  <c r="EQ21" i="65037"/>
  <c r="EQ19" i="65037"/>
  <c r="EQ18" i="65037"/>
  <c r="EQ20" i="65037"/>
  <c r="ER20" i="65037"/>
  <c r="IU158" i="65037"/>
  <c r="IT187" i="65037"/>
  <c r="IU187" i="65037" s="1"/>
  <c r="IX171" i="65037"/>
  <c r="IY171" i="65037" s="1"/>
  <c r="IY142" i="65037"/>
  <c r="FE142" i="65037" s="1"/>
  <c r="IT173" i="65037"/>
  <c r="IU173" i="65037" s="1"/>
  <c r="IU144" i="65037"/>
  <c r="FE108" i="65037"/>
  <c r="FC105" i="65037" l="1"/>
  <c r="FD105" i="65037" s="1"/>
  <c r="FC106" i="65037"/>
  <c r="FD106" i="65037" s="1"/>
  <c r="FC103" i="65037"/>
  <c r="FD103" i="65037" s="1"/>
  <c r="FC104" i="65037"/>
  <c r="FD104" i="65037" s="1"/>
  <c r="Y50" i="65052"/>
  <c r="FC99" i="65037"/>
  <c r="FD99" i="65037" s="1"/>
  <c r="FC102" i="65037"/>
  <c r="FD102" i="65037" s="1"/>
  <c r="FC98" i="65037"/>
  <c r="FD98" i="65037" s="1"/>
  <c r="FC97" i="65037"/>
  <c r="FD97" i="65037" s="1"/>
  <c r="FC96" i="65037"/>
  <c r="FD96" i="65037" s="1"/>
  <c r="FC101" i="65037"/>
  <c r="FD101" i="65037" s="1"/>
  <c r="FC100" i="65037"/>
  <c r="FD100" i="65037" s="1"/>
  <c r="FD50" i="65037"/>
  <c r="FC84" i="65037"/>
  <c r="FD84" i="65037" s="1"/>
  <c r="FC90" i="65037"/>
  <c r="FD90" i="65037" s="1"/>
  <c r="FC83" i="65037"/>
  <c r="FD83" i="65037" s="1"/>
  <c r="FC91" i="65037"/>
  <c r="FD91" i="65037" s="1"/>
  <c r="FC93" i="65037"/>
  <c r="FD93" i="65037" s="1"/>
  <c r="FC88" i="65037"/>
  <c r="FD88" i="65037" s="1"/>
  <c r="FC89" i="65037"/>
  <c r="FD89" i="65037" s="1"/>
  <c r="FC85" i="65037"/>
  <c r="FD85" i="65037" s="1"/>
  <c r="FC87" i="65037"/>
  <c r="FD87" i="65037" s="1"/>
  <c r="FC95" i="65037"/>
  <c r="FD95" i="65037" s="1"/>
  <c r="FC94" i="65037"/>
  <c r="FD94" i="65037" s="1"/>
  <c r="FC86" i="65037"/>
  <c r="FD86" i="65037" s="1"/>
  <c r="DZ16" i="65037"/>
  <c r="DX15" i="65037"/>
  <c r="DW15" i="65037"/>
  <c r="FC92" i="65037"/>
  <c r="FD92" i="65037" s="1"/>
  <c r="DY16" i="65037"/>
  <c r="DX16" i="65037"/>
  <c r="DZ17" i="65037"/>
  <c r="DY17" i="65037"/>
  <c r="DW17" i="65037"/>
  <c r="IY150" i="65037"/>
  <c r="FE150" i="65037" s="1"/>
  <c r="IX179" i="65037"/>
  <c r="IY179" i="65037" s="1"/>
  <c r="FB24" i="65037"/>
  <c r="EZ36" i="65037" s="1"/>
  <c r="FA36" i="65037" s="1"/>
  <c r="DZ14" i="65037"/>
  <c r="DY15" i="65037"/>
  <c r="DX17" i="65037"/>
  <c r="DX14" i="65037"/>
  <c r="DW16" i="65037"/>
  <c r="IY152" i="65037"/>
  <c r="FE152" i="65037" s="1"/>
  <c r="IX181" i="65037"/>
  <c r="IY181" i="65037" s="1"/>
  <c r="FB50" i="65037"/>
  <c r="DZ15" i="65037"/>
  <c r="DY14" i="65037"/>
  <c r="DW14" i="65037"/>
  <c r="IY158" i="65037"/>
  <c r="FE158" i="65037" s="1"/>
  <c r="IX187" i="65037"/>
  <c r="IY187" i="65037" s="1"/>
  <c r="IX190" i="65037"/>
  <c r="IY190" i="65037" s="1"/>
  <c r="IY161" i="65037"/>
  <c r="FE161" i="65037" s="1"/>
  <c r="IX173" i="65037"/>
  <c r="IY173" i="65037" s="1"/>
  <c r="IY144" i="65037"/>
  <c r="FE144" i="65037" s="1"/>
  <c r="DV15" i="65037" l="1"/>
  <c r="DV17" i="65037"/>
  <c r="DV14" i="65037"/>
  <c r="FD108" i="65037"/>
  <c r="FE140" i="65037"/>
  <c r="FC165" i="65037" s="1"/>
  <c r="FD165" i="65037" s="1"/>
  <c r="EZ42" i="65037"/>
  <c r="FA42" i="65037" s="1"/>
  <c r="DV16" i="65037"/>
  <c r="EZ47" i="65037"/>
  <c r="FA47" i="65037" s="1"/>
  <c r="EZ49" i="65037"/>
  <c r="FA49" i="65037" s="1"/>
  <c r="EZ39" i="65037"/>
  <c r="FA39" i="65037" s="1"/>
  <c r="EZ44" i="65037"/>
  <c r="FA44" i="65037" s="1"/>
  <c r="EZ25" i="65037"/>
  <c r="FA25" i="65037" s="1"/>
  <c r="EZ40" i="65037"/>
  <c r="FA40" i="65037" s="1"/>
  <c r="EZ37" i="65037"/>
  <c r="FA37" i="65037" s="1"/>
  <c r="EZ28" i="65037"/>
  <c r="FA28" i="65037" s="1"/>
  <c r="EZ30" i="65037"/>
  <c r="FA30" i="65037" s="1"/>
  <c r="EZ35" i="65037"/>
  <c r="FA35" i="65037" s="1"/>
  <c r="EZ29" i="65037"/>
  <c r="FA29" i="65037" s="1"/>
  <c r="EZ33" i="65037"/>
  <c r="FA33" i="65037" s="1"/>
  <c r="EZ46" i="65037"/>
  <c r="FA46" i="65037" s="1"/>
  <c r="EZ41" i="65037"/>
  <c r="FA41" i="65037" s="1"/>
  <c r="EZ26" i="65037"/>
  <c r="FA26" i="65037" s="1"/>
  <c r="EZ32" i="65037"/>
  <c r="FA32" i="65037" s="1"/>
  <c r="EZ43" i="65037"/>
  <c r="FA43" i="65037" s="1"/>
  <c r="EZ48" i="65037"/>
  <c r="FA48" i="65037" s="1"/>
  <c r="EZ38" i="65037"/>
  <c r="FA38" i="65037" s="1"/>
  <c r="EZ31" i="65037"/>
  <c r="FA31" i="65037" s="1"/>
  <c r="EZ27" i="65037"/>
  <c r="FA27" i="65037" s="1"/>
  <c r="EZ45" i="65037"/>
  <c r="FA45" i="65037" s="1"/>
  <c r="EZ34" i="65037"/>
  <c r="FA34" i="65037" s="1"/>
  <c r="FC163" i="65037" l="1"/>
  <c r="FD163" i="65037" s="1"/>
  <c r="FC164" i="65037"/>
  <c r="FD164" i="65037" s="1"/>
  <c r="FC161" i="65037"/>
  <c r="FD161" i="65037" s="1"/>
  <c r="FC162" i="65037"/>
  <c r="FD162" i="65037" s="1"/>
  <c r="FC160" i="65037"/>
  <c r="FD160" i="65037" s="1"/>
  <c r="FC159" i="65037"/>
  <c r="FD159" i="65037" s="1"/>
  <c r="FC156" i="65037"/>
  <c r="FD156" i="65037" s="1"/>
  <c r="FC157" i="65037"/>
  <c r="FD157" i="65037" s="1"/>
  <c r="FC154" i="65037"/>
  <c r="FD154" i="65037" s="1"/>
  <c r="FC155" i="65037"/>
  <c r="FD155" i="65037" s="1"/>
  <c r="FC158" i="65037"/>
  <c r="FD158" i="65037" s="1"/>
  <c r="DU14" i="65037"/>
  <c r="EB17" i="65037" s="1"/>
  <c r="FC148" i="65037"/>
  <c r="FD148" i="65037" s="1"/>
  <c r="FC146" i="65037"/>
  <c r="FD146" i="65037" s="1"/>
  <c r="FC151" i="65037"/>
  <c r="FD151" i="65037" s="1"/>
  <c r="FC142" i="65037"/>
  <c r="FD142" i="65037" s="1"/>
  <c r="FC149" i="65037"/>
  <c r="FD149" i="65037" s="1"/>
  <c r="FC145" i="65037"/>
  <c r="FD145" i="65037" s="1"/>
  <c r="FC143" i="65037"/>
  <c r="FD143" i="65037" s="1"/>
  <c r="FC153" i="65037"/>
  <c r="FD153" i="65037" s="1"/>
  <c r="FC141" i="65037"/>
  <c r="FD141" i="65037" s="1"/>
  <c r="FC147" i="65037"/>
  <c r="FD147" i="65037" s="1"/>
  <c r="FC152" i="65037"/>
  <c r="FD152" i="65037" s="1"/>
  <c r="FC144" i="65037"/>
  <c r="FD144" i="65037" s="1"/>
  <c r="FC150" i="65037"/>
  <c r="FD150" i="65037" s="1"/>
  <c r="FA50" i="65037"/>
  <c r="ED17" i="65037" l="1"/>
  <c r="EB14" i="65037"/>
  <c r="ED15" i="65037"/>
  <c r="EB16" i="65037"/>
  <c r="ED16" i="65037"/>
  <c r="EB15" i="65037"/>
  <c r="ED14" i="65037"/>
  <c r="EX31" i="65037"/>
  <c r="EY31" i="65037" s="1"/>
  <c r="EX39" i="65037"/>
  <c r="EY39" i="65037" s="1"/>
  <c r="EX48" i="65037"/>
  <c r="EY48" i="65037" s="1"/>
  <c r="EX25" i="65037"/>
  <c r="EY25" i="65037" s="1"/>
  <c r="EX32" i="65037"/>
  <c r="EY32" i="65037" s="1"/>
  <c r="EX38" i="65037"/>
  <c r="EY38" i="65037" s="1"/>
  <c r="EX30" i="65037"/>
  <c r="EY30" i="65037" s="1"/>
  <c r="EX40" i="65037"/>
  <c r="EY40" i="65037" s="1"/>
  <c r="EX27" i="65037"/>
  <c r="EY27" i="65037" s="1"/>
  <c r="EX26" i="65037"/>
  <c r="EY26" i="65037" s="1"/>
  <c r="EX44" i="65037"/>
  <c r="EY44" i="65037" s="1"/>
  <c r="EX45" i="65037"/>
  <c r="EY45" i="65037" s="1"/>
  <c r="EX46" i="65037"/>
  <c r="EY46" i="65037" s="1"/>
  <c r="EX47" i="65037"/>
  <c r="EY47" i="65037" s="1"/>
  <c r="EX37" i="65037"/>
  <c r="EY37" i="65037" s="1"/>
  <c r="EX35" i="65037"/>
  <c r="EY35" i="65037" s="1"/>
  <c r="EX34" i="65037"/>
  <c r="EY34" i="65037" s="1"/>
  <c r="EX33" i="65037"/>
  <c r="EY33" i="65037" s="1"/>
  <c r="EX43" i="65037"/>
  <c r="EY43" i="65037" s="1"/>
  <c r="EX36" i="65037"/>
  <c r="EY36" i="65037" s="1"/>
  <c r="EX29" i="65037"/>
  <c r="EY29" i="65037" s="1"/>
  <c r="EX42" i="65037"/>
  <c r="EY42" i="65037" s="1"/>
  <c r="EX49" i="65037"/>
  <c r="EY49" i="65037" s="1"/>
  <c r="EX41" i="65037"/>
  <c r="EY41" i="65037" s="1"/>
  <c r="EX28" i="65037"/>
  <c r="EY28" i="65037" s="1"/>
  <c r="EE14" i="65037" l="1"/>
  <c r="DT14" i="65037" s="1"/>
  <c r="EY50" i="65037"/>
  <c r="AV49" i="65037" l="1"/>
  <c r="AV39" i="65037"/>
  <c r="AV47" i="65037"/>
  <c r="AV48" i="65037"/>
  <c r="AV45" i="65037"/>
  <c r="AV46" i="65037"/>
  <c r="AV43" i="65037"/>
  <c r="AV44" i="65037"/>
  <c r="AV41" i="65037"/>
  <c r="AV42" i="65037"/>
  <c r="AV40" i="65037"/>
  <c r="AV27" i="65037"/>
  <c r="AV38" i="65037"/>
  <c r="AV36" i="65037"/>
  <c r="AV34" i="65037"/>
  <c r="AV31" i="65037"/>
  <c r="AV25" i="65037"/>
  <c r="AV30" i="65037"/>
  <c r="AV26" i="65037"/>
  <c r="AV33" i="65037"/>
  <c r="AV32" i="65037"/>
  <c r="AV37" i="65037"/>
  <c r="AV29" i="65037"/>
  <c r="AV35" i="65037"/>
  <c r="AV28" i="65037"/>
  <c r="AV24" i="65037" l="1"/>
  <c r="V29" i="65037" l="1"/>
  <c r="V27" i="65037"/>
  <c r="V26" i="65037"/>
  <c r="V28" i="65037"/>
  <c r="Y27" i="65037" l="1"/>
  <c r="Y28" i="65037"/>
  <c r="Y26" i="65037"/>
  <c r="Y29" i="65037"/>
  <c r="X26" i="65037"/>
  <c r="X27" i="65037"/>
  <c r="X28" i="65037"/>
  <c r="X29" i="65037"/>
  <c r="W29" i="65037" l="1"/>
  <c r="CJ30" i="65037" s="1"/>
  <c r="W28" i="65037"/>
  <c r="W26" i="65037"/>
  <c r="W27" i="65037"/>
  <c r="V34" i="65037"/>
  <c r="CJ25" i="65037" l="1"/>
  <c r="CJ29" i="65037"/>
  <c r="CJ28" i="65037"/>
  <c r="Y34" i="65037"/>
  <c r="X34" i="65037"/>
  <c r="W34" i="65037" l="1"/>
  <c r="V35" i="65037"/>
  <c r="V33" i="65037"/>
  <c r="V36" i="65037"/>
  <c r="V37" i="65037"/>
  <c r="CJ33" i="65037" l="1"/>
  <c r="Y33" i="65037"/>
  <c r="Y37" i="65037"/>
  <c r="Y36" i="65037"/>
  <c r="Y35" i="65037"/>
  <c r="X36" i="65037"/>
  <c r="X33" i="65037"/>
  <c r="X37" i="65037"/>
  <c r="X35" i="65037"/>
  <c r="W37" i="65037" l="1"/>
  <c r="CJ38" i="65037" s="1"/>
  <c r="W36" i="65037"/>
  <c r="CJ27" i="65037" s="1"/>
  <c r="W35" i="65037"/>
  <c r="W33" i="65037"/>
  <c r="CJ31" i="65037" s="1"/>
  <c r="CJ36" i="65037" l="1"/>
  <c r="CI36" i="65037" s="1"/>
  <c r="CJ37" i="65037"/>
  <c r="CJ35" i="65037"/>
  <c r="CI35" i="65037" s="1"/>
  <c r="CJ34" i="65037"/>
  <c r="CJ32" i="65037"/>
  <c r="CI32" i="65037" s="1"/>
  <c r="ED174" i="65037"/>
  <c r="CI44" i="65037"/>
  <c r="CI41" i="65037"/>
  <c r="EM116" i="65037"/>
  <c r="AB29" i="65037"/>
  <c r="EM114" i="65037"/>
  <c r="CI27" i="65037"/>
  <c r="AA27" i="65037"/>
  <c r="F15" i="65053" s="1"/>
  <c r="AB27" i="65037"/>
  <c r="Z27" i="65037"/>
  <c r="ED172" i="65037"/>
  <c r="EM123" i="65037"/>
  <c r="Z36" i="65037"/>
  <c r="ED181" i="65037"/>
  <c r="AA36" i="65037"/>
  <c r="F24" i="65053" s="1"/>
  <c r="AB36" i="65037"/>
  <c r="EM122" i="65037"/>
  <c r="AB35" i="65037"/>
  <c r="ED180" i="65037"/>
  <c r="Z35" i="65037"/>
  <c r="AA35" i="65037"/>
  <c r="F23" i="65053" s="1"/>
  <c r="EM135" i="65037"/>
  <c r="AB48" i="65037"/>
  <c r="Z48" i="65037"/>
  <c r="ED193" i="65037"/>
  <c r="CI48" i="65037"/>
  <c r="AA48" i="65037"/>
  <c r="F36" i="65053" s="1"/>
  <c r="CI31" i="65037"/>
  <c r="EM118" i="65037"/>
  <c r="AA31" i="65037"/>
  <c r="F19" i="65053" s="1"/>
  <c r="Z31" i="65037"/>
  <c r="ED176" i="65037"/>
  <c r="AB31" i="65037"/>
  <c r="CI39" i="65037"/>
  <c r="Z39" i="65037"/>
  <c r="EM126" i="65037"/>
  <c r="AB39" i="65037"/>
  <c r="ED184" i="65037"/>
  <c r="AA39" i="65037"/>
  <c r="F27" i="65053" s="1"/>
  <c r="EM119" i="65037"/>
  <c r="AB32" i="65037"/>
  <c r="AA32" i="65037"/>
  <c r="F20" i="65053" s="1"/>
  <c r="ED177" i="65037"/>
  <c r="Z32" i="65037"/>
  <c r="EM120" i="65037"/>
  <c r="CI33" i="65037"/>
  <c r="AB33" i="65037"/>
  <c r="Z33" i="65037"/>
  <c r="ED178" i="65037"/>
  <c r="AA33" i="65037"/>
  <c r="F21" i="65053" s="1"/>
  <c r="CI47" i="65037"/>
  <c r="EM134" i="65037"/>
  <c r="Z47" i="65037"/>
  <c r="ED192" i="65037"/>
  <c r="AA47" i="65037"/>
  <c r="F35" i="65053" s="1"/>
  <c r="AB47" i="65037"/>
  <c r="EM127" i="65037"/>
  <c r="ED185" i="65037"/>
  <c r="CI40" i="65037"/>
  <c r="AB40" i="65037"/>
  <c r="AA40" i="65037"/>
  <c r="F28" i="65053" s="1"/>
  <c r="Z40" i="65037"/>
  <c r="EM115" i="65037"/>
  <c r="ED173" i="65037"/>
  <c r="Z28" i="65037"/>
  <c r="CI28" i="65037"/>
  <c r="AB28" i="65037"/>
  <c r="AA28" i="65037"/>
  <c r="F16" i="65053" s="1"/>
  <c r="EM130" i="65037"/>
  <c r="CI43" i="65037"/>
  <c r="Z43" i="65037"/>
  <c r="ED188" i="65037"/>
  <c r="AB43" i="65037"/>
  <c r="AA43" i="65037"/>
  <c r="F31" i="65053" s="1"/>
  <c r="AB44" i="65037" l="1"/>
  <c r="CI29" i="65037"/>
  <c r="Z29" i="65037"/>
  <c r="ED189" i="65037"/>
  <c r="AA29" i="65037"/>
  <c r="F17" i="65053" s="1"/>
  <c r="Z44" i="65037"/>
  <c r="AA44" i="65037"/>
  <c r="F32" i="65053" s="1"/>
  <c r="EM131" i="65037"/>
  <c r="Z41" i="65037"/>
  <c r="ED186" i="65037"/>
  <c r="AA41" i="65037"/>
  <c r="F29" i="65053" s="1"/>
  <c r="EM128" i="65037"/>
  <c r="AB41" i="65037"/>
  <c r="BK35" i="65053"/>
  <c r="AU35" i="65053"/>
  <c r="BB35" i="65053"/>
  <c r="BD35" i="65053"/>
  <c r="BS35" i="65053"/>
  <c r="AY35" i="65053"/>
  <c r="AW35" i="65053"/>
  <c r="BQ35" i="65053"/>
  <c r="BT35" i="65053"/>
  <c r="BG35" i="65053"/>
  <c r="BH35" i="65053"/>
  <c r="AX35" i="65053"/>
  <c r="BN35" i="65053"/>
  <c r="BI35" i="65053"/>
  <c r="BR35" i="65053"/>
  <c r="AV35" i="65053"/>
  <c r="BL35" i="65053"/>
  <c r="AZ35" i="65053"/>
  <c r="AT35" i="65053"/>
  <c r="BO35" i="65053"/>
  <c r="BM35" i="65053"/>
  <c r="BJ35" i="65053"/>
  <c r="BP35" i="65053"/>
  <c r="BE35" i="65053"/>
  <c r="AS35" i="65053"/>
  <c r="BC35" i="65053"/>
  <c r="BF35" i="65053"/>
  <c r="BA35" i="65053"/>
  <c r="AR35" i="65053"/>
  <c r="BU35" i="65053"/>
  <c r="BR24" i="65053"/>
  <c r="BB24" i="65053"/>
  <c r="AZ24" i="65053"/>
  <c r="BU24" i="65053"/>
  <c r="BG24" i="65053"/>
  <c r="BF24" i="65053"/>
  <c r="BE24" i="65053"/>
  <c r="AV24" i="65053"/>
  <c r="AR24" i="65053"/>
  <c r="BM24" i="65053"/>
  <c r="AT24" i="65053"/>
  <c r="AW24" i="65053"/>
  <c r="BI24" i="65053"/>
  <c r="BJ24" i="65053"/>
  <c r="BK24" i="65053"/>
  <c r="BL24" i="65053"/>
  <c r="BH24" i="65053"/>
  <c r="AY24" i="65053"/>
  <c r="BT24" i="65053"/>
  <c r="AX24" i="65053"/>
  <c r="BP24" i="65053"/>
  <c r="BQ24" i="65053"/>
  <c r="AS24" i="65053"/>
  <c r="BN24" i="65053"/>
  <c r="BD24" i="65053"/>
  <c r="AU24" i="65053"/>
  <c r="BA24" i="65053"/>
  <c r="BC24" i="65053"/>
  <c r="BO24" i="65053"/>
  <c r="BS24" i="65053"/>
  <c r="BP15" i="65053"/>
  <c r="BJ15" i="65053"/>
  <c r="AT15" i="65053"/>
  <c r="BF15" i="65053"/>
  <c r="BU15" i="65053"/>
  <c r="BR15" i="65053"/>
  <c r="BB15" i="65053"/>
  <c r="BN15" i="65053"/>
  <c r="AX15" i="65053"/>
  <c r="BL15" i="65053"/>
  <c r="AZ15" i="65053"/>
  <c r="BC15" i="65053"/>
  <c r="BS15" i="65053"/>
  <c r="BD15" i="65053"/>
  <c r="BH15" i="65053"/>
  <c r="AU15" i="65053"/>
  <c r="BO15" i="65053"/>
  <c r="BT15" i="65053"/>
  <c r="BK15" i="65053"/>
  <c r="BA15" i="65053"/>
  <c r="BQ15" i="65053"/>
  <c r="AV15" i="65053"/>
  <c r="AY15" i="65053"/>
  <c r="AS15" i="65053"/>
  <c r="BI15" i="65053"/>
  <c r="BG15" i="65053"/>
  <c r="AW15" i="65053"/>
  <c r="AR15" i="65053"/>
  <c r="BE15" i="65053"/>
  <c r="BM15" i="65053"/>
  <c r="BN19" i="65053"/>
  <c r="AX19" i="65053"/>
  <c r="BE19" i="65053"/>
  <c r="BL19" i="65053"/>
  <c r="BB19" i="65053"/>
  <c r="BK19" i="65053"/>
  <c r="BQ19" i="65053"/>
  <c r="BC19" i="65053"/>
  <c r="BR19" i="65053"/>
  <c r="AT19" i="65053"/>
  <c r="AU19" i="65053"/>
  <c r="BG19" i="65053"/>
  <c r="BM19" i="65053"/>
  <c r="AY19" i="65053"/>
  <c r="BT19" i="65053"/>
  <c r="BJ19" i="65053"/>
  <c r="BP19" i="65053"/>
  <c r="AV19" i="65053"/>
  <c r="AW19" i="65053"/>
  <c r="BI19" i="65053"/>
  <c r="BF19" i="65053"/>
  <c r="BU19" i="65053"/>
  <c r="BA19" i="65053"/>
  <c r="BS19" i="65053"/>
  <c r="AZ19" i="65053"/>
  <c r="AS19" i="65053"/>
  <c r="AR19" i="65053"/>
  <c r="BD19" i="65053"/>
  <c r="BH19" i="65053"/>
  <c r="BO19" i="65053"/>
  <c r="BN36" i="65053"/>
  <c r="BU36" i="65053"/>
  <c r="AS36" i="65053"/>
  <c r="BF36" i="65053"/>
  <c r="AZ36" i="65053"/>
  <c r="BP36" i="65053"/>
  <c r="BA36" i="65053"/>
  <c r="BK36" i="65053"/>
  <c r="AU36" i="65053"/>
  <c r="BB36" i="65053"/>
  <c r="BD36" i="65053"/>
  <c r="BL36" i="65053"/>
  <c r="BS36" i="65053"/>
  <c r="BC36" i="65053"/>
  <c r="BM36" i="65053"/>
  <c r="AR36" i="65053"/>
  <c r="BQ36" i="65053"/>
  <c r="AX36" i="65053"/>
  <c r="BG36" i="65053"/>
  <c r="AW36" i="65053"/>
  <c r="BT36" i="65053"/>
  <c r="AT36" i="65053"/>
  <c r="AY36" i="65053"/>
  <c r="AV36" i="65053"/>
  <c r="BI36" i="65053"/>
  <c r="BR36" i="65053"/>
  <c r="BJ36" i="65053"/>
  <c r="BO36" i="65053"/>
  <c r="BH36" i="65053"/>
  <c r="BE36" i="65053"/>
  <c r="BS31" i="65053"/>
  <c r="BC31" i="65053"/>
  <c r="BM31" i="65053"/>
  <c r="AR31" i="65053"/>
  <c r="BQ31" i="65053"/>
  <c r="BK31" i="65053"/>
  <c r="BR31" i="65053"/>
  <c r="AV31" i="65053"/>
  <c r="BE31" i="65053"/>
  <c r="BO31" i="65053"/>
  <c r="BH31" i="65053"/>
  <c r="BJ31" i="65053"/>
  <c r="BT31" i="65053"/>
  <c r="BN31" i="65053"/>
  <c r="BI31" i="65053"/>
  <c r="AY31" i="65053"/>
  <c r="AW31" i="65053"/>
  <c r="AX31" i="65053"/>
  <c r="AZ31" i="65053"/>
  <c r="AT31" i="65053"/>
  <c r="AU31" i="65053"/>
  <c r="BD31" i="65053"/>
  <c r="BG31" i="65053"/>
  <c r="BU31" i="65053"/>
  <c r="BB31" i="65053"/>
  <c r="BA31" i="65053"/>
  <c r="AS31" i="65053"/>
  <c r="BP31" i="65053"/>
  <c r="BL31" i="65053"/>
  <c r="BF31" i="65053"/>
  <c r="BN28" i="65053"/>
  <c r="BU28" i="65053"/>
  <c r="BF28" i="65053"/>
  <c r="AS28" i="65053"/>
  <c r="AT28" i="65053"/>
  <c r="BP28" i="65053"/>
  <c r="BI28" i="65053"/>
  <c r="BK28" i="65053"/>
  <c r="AU28" i="65053"/>
  <c r="BB28" i="65053"/>
  <c r="BD28" i="65053"/>
  <c r="BL28" i="65053"/>
  <c r="AZ28" i="65053"/>
  <c r="BS28" i="65053"/>
  <c r="BC28" i="65053"/>
  <c r="BM28" i="65053"/>
  <c r="AR28" i="65053"/>
  <c r="BQ28" i="65053"/>
  <c r="AX28" i="65053"/>
  <c r="BA28" i="65053"/>
  <c r="BG28" i="65053"/>
  <c r="AW28" i="65053"/>
  <c r="BT28" i="65053"/>
  <c r="AY28" i="65053"/>
  <c r="AV28" i="65053"/>
  <c r="BR28" i="65053"/>
  <c r="BJ28" i="65053"/>
  <c r="BO28" i="65053"/>
  <c r="BH28" i="65053"/>
  <c r="BE28" i="65053"/>
  <c r="BR20" i="65053"/>
  <c r="BB20" i="65053"/>
  <c r="AZ20" i="65053"/>
  <c r="BU20" i="65053"/>
  <c r="BG20" i="65053"/>
  <c r="BJ20" i="65053"/>
  <c r="AU20" i="65053"/>
  <c r="BQ20" i="65053"/>
  <c r="AR20" i="65053"/>
  <c r="BM20" i="65053"/>
  <c r="BN20" i="65053"/>
  <c r="BE20" i="65053"/>
  <c r="BH20" i="65053"/>
  <c r="BI20" i="65053"/>
  <c r="AX20" i="65053"/>
  <c r="BP20" i="65053"/>
  <c r="BA20" i="65053"/>
  <c r="AW20" i="65053"/>
  <c r="AY20" i="65053"/>
  <c r="BT20" i="65053"/>
  <c r="AT20" i="65053"/>
  <c r="BL20" i="65053"/>
  <c r="AS20" i="65053"/>
  <c r="BC20" i="65053"/>
  <c r="BD20" i="65053"/>
  <c r="BF20" i="65053"/>
  <c r="BS20" i="65053"/>
  <c r="BO20" i="65053"/>
  <c r="BK20" i="65053"/>
  <c r="AV20" i="65053"/>
  <c r="BP16" i="65053"/>
  <c r="BJ16" i="65053"/>
  <c r="AT16" i="65053"/>
  <c r="BF16" i="65053"/>
  <c r="BU16" i="65053"/>
  <c r="BR16" i="65053"/>
  <c r="BN16" i="65053"/>
  <c r="BB16" i="65053"/>
  <c r="AX16" i="65053"/>
  <c r="BL16" i="65053"/>
  <c r="BH16" i="65053"/>
  <c r="BG16" i="65053"/>
  <c r="BT16" i="65053"/>
  <c r="BK16" i="65053"/>
  <c r="AR16" i="65053"/>
  <c r="BO16" i="65053"/>
  <c r="BE16" i="65053"/>
  <c r="AV16" i="65053"/>
  <c r="AZ16" i="65053"/>
  <c r="AY16" i="65053"/>
  <c r="AW16" i="65053"/>
  <c r="BM16" i="65053"/>
  <c r="BD16" i="65053"/>
  <c r="BC16" i="65053"/>
  <c r="AU16" i="65053"/>
  <c r="AS16" i="65053"/>
  <c r="BS16" i="65053"/>
  <c r="BA16" i="65053"/>
  <c r="BI16" i="65053"/>
  <c r="BQ16" i="65053"/>
  <c r="BF21" i="65053"/>
  <c r="AU21" i="65053"/>
  <c r="BP21" i="65053"/>
  <c r="BA21" i="65053"/>
  <c r="BR21" i="65053"/>
  <c r="AX21" i="65053"/>
  <c r="BK21" i="65053"/>
  <c r="BQ21" i="65053"/>
  <c r="BC21" i="65053"/>
  <c r="BJ21" i="65053"/>
  <c r="BE21" i="65053"/>
  <c r="AV21" i="65053"/>
  <c r="BH21" i="65053"/>
  <c r="AY21" i="65053"/>
  <c r="BT21" i="65053"/>
  <c r="AT21" i="65053"/>
  <c r="BL21" i="65053"/>
  <c r="AR21" i="65053"/>
  <c r="BS21" i="65053"/>
  <c r="BI21" i="65053"/>
  <c r="BN21" i="65053"/>
  <c r="AZ21" i="65053"/>
  <c r="BB21" i="65053"/>
  <c r="BG21" i="65053"/>
  <c r="BM21" i="65053"/>
  <c r="BD21" i="65053"/>
  <c r="BU21" i="65053"/>
  <c r="BO21" i="65053"/>
  <c r="AW21" i="65053"/>
  <c r="AS21" i="65053"/>
  <c r="BK27" i="65053"/>
  <c r="AU27" i="65053"/>
  <c r="BB27" i="65053"/>
  <c r="BD27" i="65053"/>
  <c r="AX27" i="65053"/>
  <c r="BC27" i="65053"/>
  <c r="BH27" i="65053"/>
  <c r="BJ27" i="65053"/>
  <c r="BL27" i="65053"/>
  <c r="BS27" i="65053"/>
  <c r="BR27" i="65053"/>
  <c r="AV27" i="65053"/>
  <c r="BN27" i="65053"/>
  <c r="BI27" i="65053"/>
  <c r="BG27" i="65053"/>
  <c r="AW27" i="65053"/>
  <c r="BT27" i="65053"/>
  <c r="AZ27" i="65053"/>
  <c r="AT27" i="65053"/>
  <c r="AY27" i="65053"/>
  <c r="AR27" i="65053"/>
  <c r="BM27" i="65053"/>
  <c r="BE27" i="65053"/>
  <c r="AS27" i="65053"/>
  <c r="BQ27" i="65053"/>
  <c r="BF27" i="65053"/>
  <c r="BA27" i="65053"/>
  <c r="BU27" i="65053"/>
  <c r="BP27" i="65053"/>
  <c r="BO27" i="65053"/>
  <c r="BN23" i="65053"/>
  <c r="AX23" i="65053"/>
  <c r="BE23" i="65053"/>
  <c r="BL23" i="65053"/>
  <c r="BR23" i="65053"/>
  <c r="AT23" i="65053"/>
  <c r="BP23" i="65053"/>
  <c r="AV23" i="65053"/>
  <c r="BC23" i="65053"/>
  <c r="BB23" i="65053"/>
  <c r="BU23" i="65053"/>
  <c r="BQ23" i="65053"/>
  <c r="AW23" i="65053"/>
  <c r="AY23" i="65053"/>
  <c r="BT23" i="65053"/>
  <c r="BJ23" i="65053"/>
  <c r="AZ23" i="65053"/>
  <c r="BA23" i="65053"/>
  <c r="BM23" i="65053"/>
  <c r="BI23" i="65053"/>
  <c r="BF23" i="65053"/>
  <c r="BK23" i="65053"/>
  <c r="BG23" i="65053"/>
  <c r="AU23" i="65053"/>
  <c r="BH23" i="65053"/>
  <c r="BS23" i="65053"/>
  <c r="AS23" i="65053"/>
  <c r="BD23" i="65053"/>
  <c r="AR23" i="65053"/>
  <c r="BO23" i="65053"/>
  <c r="EM132" i="65037"/>
  <c r="AB45" i="65037"/>
  <c r="AA45" i="65037"/>
  <c r="F33" i="65053" s="1"/>
  <c r="ED190" i="65037"/>
  <c r="CI45" i="65037"/>
  <c r="Z45" i="65037"/>
  <c r="EM117" i="65037"/>
  <c r="CI30" i="65037"/>
  <c r="AB30" i="65037"/>
  <c r="AA30" i="65037"/>
  <c r="F18" i="65053" s="1"/>
  <c r="Z30" i="65037"/>
  <c r="ED175" i="65037"/>
  <c r="EM125" i="65037"/>
  <c r="CI38" i="65037"/>
  <c r="ED183" i="65037"/>
  <c r="Z38" i="65037"/>
  <c r="AB38" i="65037"/>
  <c r="AA38" i="65037"/>
  <c r="F26" i="65053" s="1"/>
  <c r="EM113" i="65037"/>
  <c r="AA26" i="65037"/>
  <c r="F14" i="65053" s="1"/>
  <c r="AB26" i="65037"/>
  <c r="ED171" i="65037"/>
  <c r="Z26" i="65037"/>
  <c r="EM136" i="65037"/>
  <c r="CI49" i="65037"/>
  <c r="Z49" i="65037"/>
  <c r="ED194" i="65037"/>
  <c r="AA49" i="65037"/>
  <c r="F37" i="65053" s="1"/>
  <c r="AB49" i="65037"/>
  <c r="EM129" i="65037"/>
  <c r="CI42" i="65037"/>
  <c r="Z42" i="65037"/>
  <c r="ED187" i="65037"/>
  <c r="AA42" i="65037"/>
  <c r="F30" i="65053" s="1"/>
  <c r="AB42" i="65037"/>
  <c r="EM121" i="65037"/>
  <c r="CI34" i="65037"/>
  <c r="Z34" i="65037"/>
  <c r="AB34" i="65037"/>
  <c r="AA34" i="65037"/>
  <c r="F22" i="65053" s="1"/>
  <c r="ED179" i="65037"/>
  <c r="EM133" i="65037"/>
  <c r="CI46" i="65037"/>
  <c r="AA46" i="65037"/>
  <c r="F34" i="65053" s="1"/>
  <c r="Z46" i="65037"/>
  <c r="ED191" i="65037"/>
  <c r="AB46" i="65037"/>
  <c r="EM124" i="65037"/>
  <c r="AA37" i="65037"/>
  <c r="F25" i="65053" s="1"/>
  <c r="ED182" i="65037"/>
  <c r="Z37" i="65037"/>
  <c r="CI37" i="65037"/>
  <c r="AB37" i="65037"/>
  <c r="BH29" i="65053" l="1"/>
  <c r="AS32" i="65053"/>
  <c r="AU17" i="65053"/>
  <c r="I36" i="65053"/>
  <c r="I35" i="65053"/>
  <c r="I31" i="65053"/>
  <c r="I28" i="65053"/>
  <c r="I27" i="65053"/>
  <c r="I23" i="65053"/>
  <c r="I20" i="65053"/>
  <c r="I24" i="65053"/>
  <c r="I19" i="65053"/>
  <c r="I21" i="65053"/>
  <c r="I15" i="65053"/>
  <c r="I16" i="65053"/>
  <c r="BN32" i="65053"/>
  <c r="BB17" i="65053"/>
  <c r="AZ17" i="65053"/>
  <c r="BN29" i="65053"/>
  <c r="AR32" i="65053"/>
  <c r="BO29" i="65053"/>
  <c r="BH32" i="65053"/>
  <c r="AU32" i="65053"/>
  <c r="BC29" i="65053"/>
  <c r="AV32" i="65053"/>
  <c r="BI32" i="65053"/>
  <c r="BU29" i="65053"/>
  <c r="BR32" i="65053"/>
  <c r="AZ32" i="65053"/>
  <c r="BO32" i="65053"/>
  <c r="AR29" i="65053"/>
  <c r="BQ29" i="65053"/>
  <c r="BS29" i="65053"/>
  <c r="BG29" i="65053"/>
  <c r="AW32" i="65053"/>
  <c r="BT32" i="65053"/>
  <c r="AX32" i="65053"/>
  <c r="BC32" i="65053"/>
  <c r="BD32" i="65053"/>
  <c r="BA32" i="65053"/>
  <c r="BU32" i="65053"/>
  <c r="AS29" i="65053"/>
  <c r="BT29" i="65053"/>
  <c r="BR29" i="65053"/>
  <c r="BM29" i="65053"/>
  <c r="AY32" i="65053"/>
  <c r="AT32" i="65053"/>
  <c r="BM32" i="65053"/>
  <c r="BL32" i="65053"/>
  <c r="BK32" i="65053"/>
  <c r="BF32" i="65053"/>
  <c r="BA29" i="65053"/>
  <c r="AT29" i="65053"/>
  <c r="AW29" i="65053"/>
  <c r="AY29" i="65053"/>
  <c r="BE32" i="65053"/>
  <c r="BG32" i="65053"/>
  <c r="BJ32" i="65053"/>
  <c r="BQ32" i="65053"/>
  <c r="BS32" i="65053"/>
  <c r="BB32" i="65053"/>
  <c r="BP32" i="65053"/>
  <c r="BL17" i="65053"/>
  <c r="BJ17" i="65053"/>
  <c r="BQ17" i="65053"/>
  <c r="BO17" i="65053"/>
  <c r="BG17" i="65053"/>
  <c r="BD17" i="65053"/>
  <c r="BT17" i="65053"/>
  <c r="AV17" i="65053"/>
  <c r="BP17" i="65053"/>
  <c r="AS17" i="65053"/>
  <c r="BI17" i="65053"/>
  <c r="BH17" i="65053"/>
  <c r="BE17" i="65053"/>
  <c r="AX17" i="65053"/>
  <c r="BN17" i="65053"/>
  <c r="AT17" i="65053"/>
  <c r="AY17" i="65053"/>
  <c r="AW17" i="65053"/>
  <c r="BS17" i="65053"/>
  <c r="BK17" i="65053"/>
  <c r="BM17" i="65053"/>
  <c r="BF17" i="65053"/>
  <c r="AR17" i="65053"/>
  <c r="BA17" i="65053"/>
  <c r="BR17" i="65053"/>
  <c r="BC17" i="65053"/>
  <c r="BU17" i="65053"/>
  <c r="BP29" i="65053"/>
  <c r="BE29" i="65053"/>
  <c r="BB29" i="65053"/>
  <c r="BL29" i="65053"/>
  <c r="BI29" i="65053"/>
  <c r="AX29" i="65053"/>
  <c r="AV29" i="65053"/>
  <c r="AU29" i="65053"/>
  <c r="BF29" i="65053"/>
  <c r="BK29" i="65053"/>
  <c r="BJ29" i="65053"/>
  <c r="AZ29" i="65053"/>
  <c r="BD29" i="65053"/>
  <c r="BJ22" i="65053"/>
  <c r="AT22" i="65053"/>
  <c r="BK22" i="65053"/>
  <c r="AV22" i="65053"/>
  <c r="BQ22" i="65053"/>
  <c r="BF22" i="65053"/>
  <c r="AZ22" i="65053"/>
  <c r="AR22" i="65053"/>
  <c r="BM22" i="65053"/>
  <c r="BB22" i="65053"/>
  <c r="BP22" i="65053"/>
  <c r="BG22" i="65053"/>
  <c r="BC22" i="65053"/>
  <c r="BI22" i="65053"/>
  <c r="BR22" i="65053"/>
  <c r="AU22" i="65053"/>
  <c r="BS22" i="65053"/>
  <c r="AY22" i="65053"/>
  <c r="BT22" i="65053"/>
  <c r="BN22" i="65053"/>
  <c r="BE22" i="65053"/>
  <c r="BA22" i="65053"/>
  <c r="BO22" i="65053"/>
  <c r="BL22" i="65053"/>
  <c r="AW22" i="65053"/>
  <c r="AX22" i="65053"/>
  <c r="BH22" i="65053"/>
  <c r="AS22" i="65053"/>
  <c r="BU22" i="65053"/>
  <c r="BD22" i="65053"/>
  <c r="BJ18" i="65053"/>
  <c r="AT18" i="65053"/>
  <c r="BK18" i="65053"/>
  <c r="AV18" i="65053"/>
  <c r="BQ18" i="65053"/>
  <c r="BN18" i="65053"/>
  <c r="AU18" i="65053"/>
  <c r="BU18" i="65053"/>
  <c r="BL18" i="65053"/>
  <c r="AR18" i="65053"/>
  <c r="BM18" i="65053"/>
  <c r="BF18" i="65053"/>
  <c r="AZ18" i="65053"/>
  <c r="BE18" i="65053"/>
  <c r="BA18" i="65053"/>
  <c r="BS18" i="65053"/>
  <c r="BI18" i="65053"/>
  <c r="BB18" i="65053"/>
  <c r="BC18" i="65053"/>
  <c r="AY18" i="65053"/>
  <c r="BT18" i="65053"/>
  <c r="AX18" i="65053"/>
  <c r="BP18" i="65053"/>
  <c r="AW18" i="65053"/>
  <c r="BO18" i="65053"/>
  <c r="BH18" i="65053"/>
  <c r="BG18" i="65053"/>
  <c r="AS18" i="65053"/>
  <c r="BR18" i="65053"/>
  <c r="BD18" i="65053"/>
  <c r="BK26" i="65053"/>
  <c r="BM26" i="65053"/>
  <c r="AT26" i="65053"/>
  <c r="BN26" i="65053"/>
  <c r="AV26" i="65053"/>
  <c r="BC26" i="65053"/>
  <c r="AX26" i="65053"/>
  <c r="BU26" i="65053"/>
  <c r="BA26" i="65053"/>
  <c r="AR26" i="65053"/>
  <c r="BO26" i="65053"/>
  <c r="BB26" i="65053"/>
  <c r="BP26" i="65053"/>
  <c r="BQ26" i="65053"/>
  <c r="BL26" i="65053"/>
  <c r="BR26" i="65053"/>
  <c r="AZ26" i="65053"/>
  <c r="BD26" i="65053"/>
  <c r="AY26" i="65053"/>
  <c r="BS26" i="65053"/>
  <c r="BH26" i="65053"/>
  <c r="BF26" i="65053"/>
  <c r="BI26" i="65053"/>
  <c r="BT26" i="65053"/>
  <c r="BG26" i="65053"/>
  <c r="AU26" i="65053"/>
  <c r="AW26" i="65053"/>
  <c r="AS26" i="65053"/>
  <c r="BJ26" i="65053"/>
  <c r="BE26" i="65053"/>
  <c r="BG33" i="65053"/>
  <c r="BR33" i="65053"/>
  <c r="AW33" i="65053"/>
  <c r="BJ33" i="65053"/>
  <c r="BO33" i="65053"/>
  <c r="AU33" i="65053"/>
  <c r="AR33" i="65053"/>
  <c r="BL33" i="65053"/>
  <c r="AY33" i="65053"/>
  <c r="AV33" i="65053"/>
  <c r="BE33" i="65053"/>
  <c r="AZ33" i="65053"/>
  <c r="BI33" i="65053"/>
  <c r="BK33" i="65053"/>
  <c r="BH33" i="65053"/>
  <c r="BQ33" i="65053"/>
  <c r="BN33" i="65053"/>
  <c r="AT33" i="65053"/>
  <c r="BC33" i="65053"/>
  <c r="BB33" i="65053"/>
  <c r="BD33" i="65053"/>
  <c r="AX33" i="65053"/>
  <c r="AS33" i="65053"/>
  <c r="BA33" i="65053"/>
  <c r="BS33" i="65053"/>
  <c r="BT33" i="65053"/>
  <c r="BF33" i="65053"/>
  <c r="BP33" i="65053"/>
  <c r="BM33" i="65053"/>
  <c r="BU33" i="65053"/>
  <c r="BO37" i="65053"/>
  <c r="AY37" i="65053"/>
  <c r="BH37" i="65053"/>
  <c r="AV37" i="65053"/>
  <c r="BC37" i="65053"/>
  <c r="BB37" i="65053"/>
  <c r="BJ37" i="65053"/>
  <c r="AX37" i="65053"/>
  <c r="BS37" i="65053"/>
  <c r="BR37" i="65053"/>
  <c r="BD37" i="65053"/>
  <c r="BT37" i="65053"/>
  <c r="AZ37" i="65053"/>
  <c r="BI37" i="65053"/>
  <c r="BG37" i="65053"/>
  <c r="AW37" i="65053"/>
  <c r="BE37" i="65053"/>
  <c r="BN37" i="65053"/>
  <c r="AT37" i="65053"/>
  <c r="AU37" i="65053"/>
  <c r="AR37" i="65053"/>
  <c r="BM37" i="65053"/>
  <c r="BF37" i="65053"/>
  <c r="BQ37" i="65053"/>
  <c r="BU37" i="65053"/>
  <c r="BA37" i="65053"/>
  <c r="BP37" i="65053"/>
  <c r="BK37" i="65053"/>
  <c r="BL37" i="65053"/>
  <c r="AS37" i="65053"/>
  <c r="BF25" i="65053"/>
  <c r="AU25" i="65053"/>
  <c r="BP25" i="65053"/>
  <c r="BA25" i="65053"/>
  <c r="BN25" i="65053"/>
  <c r="AT25" i="65053"/>
  <c r="BU25" i="65053"/>
  <c r="AV25" i="65053"/>
  <c r="BC25" i="65053"/>
  <c r="BR25" i="65053"/>
  <c r="AZ25" i="65053"/>
  <c r="BG25" i="65053"/>
  <c r="AR25" i="65053"/>
  <c r="BS25" i="65053"/>
  <c r="AY25" i="65053"/>
  <c r="BT25" i="65053"/>
  <c r="BB25" i="65053"/>
  <c r="BK25" i="65053"/>
  <c r="BQ25" i="65053"/>
  <c r="BH25" i="65053"/>
  <c r="BI25" i="65053"/>
  <c r="AX25" i="65053"/>
  <c r="BE25" i="65053"/>
  <c r="AW25" i="65053"/>
  <c r="BD25" i="65053"/>
  <c r="BM25" i="65053"/>
  <c r="BO25" i="65053"/>
  <c r="BJ25" i="65053"/>
  <c r="BL25" i="65053"/>
  <c r="AS25" i="65053"/>
  <c r="AZ34" i="65053"/>
  <c r="BF34" i="65053"/>
  <c r="AS34" i="65053"/>
  <c r="BU34" i="65053"/>
  <c r="BI34" i="65053"/>
  <c r="BS34" i="65053"/>
  <c r="BC34" i="65053"/>
  <c r="BM34" i="65053"/>
  <c r="AR34" i="65053"/>
  <c r="BQ34" i="65053"/>
  <c r="BL34" i="65053"/>
  <c r="BP34" i="65053"/>
  <c r="AT34" i="65053"/>
  <c r="BK34" i="65053"/>
  <c r="AU34" i="65053"/>
  <c r="BB34" i="65053"/>
  <c r="BD34" i="65053"/>
  <c r="AX34" i="65053"/>
  <c r="BN34" i="65053"/>
  <c r="BO34" i="65053"/>
  <c r="BH34" i="65053"/>
  <c r="BT34" i="65053"/>
  <c r="BG34" i="65053"/>
  <c r="AW34" i="65053"/>
  <c r="AY34" i="65053"/>
  <c r="AV34" i="65053"/>
  <c r="BA34" i="65053"/>
  <c r="BR34" i="65053"/>
  <c r="BJ34" i="65053"/>
  <c r="BE34" i="65053"/>
  <c r="AZ30" i="65053"/>
  <c r="BU30" i="65053"/>
  <c r="AS30" i="65053"/>
  <c r="BF30" i="65053"/>
  <c r="BP30" i="65053"/>
  <c r="AT30" i="65053"/>
  <c r="BN30" i="65053"/>
  <c r="BA30" i="65053"/>
  <c r="BS30" i="65053"/>
  <c r="BC30" i="65053"/>
  <c r="BM30" i="65053"/>
  <c r="AR30" i="65053"/>
  <c r="BQ30" i="65053"/>
  <c r="BL30" i="65053"/>
  <c r="BK30" i="65053"/>
  <c r="AU30" i="65053"/>
  <c r="BB30" i="65053"/>
  <c r="BD30" i="65053"/>
  <c r="AX30" i="65053"/>
  <c r="AY30" i="65053"/>
  <c r="AV30" i="65053"/>
  <c r="BT30" i="65053"/>
  <c r="BR30" i="65053"/>
  <c r="BJ30" i="65053"/>
  <c r="BI30" i="65053"/>
  <c r="BO30" i="65053"/>
  <c r="BH30" i="65053"/>
  <c r="BG30" i="65053"/>
  <c r="AW30" i="65053"/>
  <c r="BE30" i="65053"/>
  <c r="BP14" i="65053"/>
  <c r="BJ14" i="65053"/>
  <c r="AT14" i="65053"/>
  <c r="BF14" i="65053"/>
  <c r="BB14" i="65053"/>
  <c r="BN14" i="65053"/>
  <c r="BU14" i="65053"/>
  <c r="BR14" i="65053"/>
  <c r="AX14" i="65053"/>
  <c r="BL14" i="65053"/>
  <c r="AR14" i="65053"/>
  <c r="AY14" i="65053"/>
  <c r="BO14" i="65053"/>
  <c r="AV14" i="65053"/>
  <c r="BC14" i="65053"/>
  <c r="BD14" i="65053"/>
  <c r="AZ14" i="65053"/>
  <c r="BT14" i="65053"/>
  <c r="BH14" i="65053"/>
  <c r="BK14" i="65053"/>
  <c r="AW14" i="65053"/>
  <c r="BM14" i="65053"/>
  <c r="AU14" i="65053"/>
  <c r="BE14" i="65053"/>
  <c r="BG14" i="65053"/>
  <c r="BQ14" i="65053"/>
  <c r="AS14" i="65053"/>
  <c r="BA14" i="65053"/>
  <c r="BS14" i="65053"/>
  <c r="BI14" i="65053"/>
  <c r="G36" i="65053" l="1"/>
  <c r="L48" i="65037" s="1"/>
  <c r="G35" i="65053"/>
  <c r="L47" i="65037" s="1"/>
  <c r="G31" i="65053"/>
  <c r="L43" i="65037" s="1"/>
  <c r="G27" i="65053"/>
  <c r="L39" i="65037" s="1"/>
  <c r="G28" i="65053"/>
  <c r="L40" i="65037" s="1"/>
  <c r="G24" i="65053"/>
  <c r="L36" i="65037" s="1"/>
  <c r="G23" i="65053"/>
  <c r="L35" i="65037" s="1"/>
  <c r="G21" i="65053"/>
  <c r="L33" i="65037" s="1"/>
  <c r="G20" i="65053"/>
  <c r="L32" i="65037" s="1"/>
  <c r="G19" i="65053"/>
  <c r="L31" i="65037" s="1"/>
  <c r="G16" i="65053"/>
  <c r="L28" i="65037" s="1"/>
  <c r="G15" i="65053"/>
  <c r="L27" i="65037" s="1"/>
  <c r="I37" i="65053"/>
  <c r="I34" i="65053"/>
  <c r="I33" i="65053"/>
  <c r="I32" i="65053"/>
  <c r="I30" i="65053"/>
  <c r="I29" i="65053"/>
  <c r="I26" i="65053"/>
  <c r="I18" i="65053"/>
  <c r="I25" i="65053"/>
  <c r="I22" i="65053"/>
  <c r="I14" i="65053"/>
  <c r="I17" i="65053"/>
  <c r="G37" i="65053" l="1"/>
  <c r="L49" i="65037" s="1"/>
  <c r="G34" i="65053"/>
  <c r="L46" i="65037" s="1"/>
  <c r="G33" i="65053"/>
  <c r="L45" i="65037" s="1"/>
  <c r="G32" i="65053"/>
  <c r="L44" i="65037" s="1"/>
  <c r="G29" i="65053"/>
  <c r="L41" i="65037" s="1"/>
  <c r="G30" i="65053"/>
  <c r="L42" i="65037" s="1"/>
  <c r="G26" i="65053"/>
  <c r="L38" i="65037" s="1"/>
  <c r="G25" i="65053"/>
  <c r="L37" i="65037" s="1"/>
  <c r="G22" i="65053"/>
  <c r="L34" i="65037" s="1"/>
  <c r="G18" i="65053"/>
  <c r="L30" i="65037" s="1"/>
  <c r="G17" i="65053"/>
  <c r="L29" i="65037" s="1"/>
  <c r="G14" i="65053"/>
  <c r="L26" i="65037" s="1"/>
  <c r="EW55" i="65037"/>
  <c r="EV55" i="65037" l="1"/>
  <c r="V25" i="65037" l="1"/>
  <c r="X25" i="65037" l="1"/>
  <c r="Y25" i="65037"/>
  <c r="W25" i="65037" l="1"/>
  <c r="CJ26" i="65037" l="1"/>
  <c r="CI26" i="65037" s="1"/>
  <c r="BG12" i="65037"/>
  <c r="CI25" i="65037"/>
  <c r="AB25" i="65037"/>
  <c r="Z25" i="65037"/>
  <c r="AZ6" i="65037"/>
  <c r="BA6" i="65037" s="1"/>
  <c r="I36" i="65052" s="1"/>
  <c r="ED170" i="65037"/>
  <c r="AA25" i="65037"/>
  <c r="F13" i="65053" s="1"/>
  <c r="EM112" i="65037"/>
  <c r="CI24" i="65037" l="1"/>
  <c r="U50" i="65037" s="1"/>
  <c r="EK119" i="65037"/>
  <c r="EH119" i="65037" s="1"/>
  <c r="EK122" i="65037"/>
  <c r="EH122" i="65037" s="1"/>
  <c r="EK118" i="65037"/>
  <c r="EH118" i="65037" s="1"/>
  <c r="EK115" i="65037"/>
  <c r="EH115" i="65037" s="1"/>
  <c r="EK114" i="65037"/>
  <c r="EH114" i="65037" s="1"/>
  <c r="EK113" i="65037"/>
  <c r="EH113" i="65037" s="1"/>
  <c r="EK120" i="65037"/>
  <c r="EH120" i="65037" s="1"/>
  <c r="EK123" i="65037"/>
  <c r="EH123" i="65037" s="1"/>
  <c r="EK124" i="65037"/>
  <c r="EH124" i="65037" s="1"/>
  <c r="EK112" i="65037"/>
  <c r="EH112" i="65037" s="1"/>
  <c r="EJ128" i="65037"/>
  <c r="AU13" i="65037" s="1"/>
  <c r="AI13" i="65037" s="1"/>
  <c r="EK121" i="65037"/>
  <c r="EH121" i="65037" s="1"/>
  <c r="EK116" i="65037"/>
  <c r="EH116" i="65037" s="1"/>
  <c r="EK117" i="65037"/>
  <c r="EH117" i="65037" s="1"/>
  <c r="EK125" i="65037"/>
  <c r="EH125" i="65037" s="1"/>
  <c r="EK111" i="65037"/>
  <c r="EH111" i="65037" s="1"/>
  <c r="AX13" i="65053"/>
  <c r="AX11" i="65053" s="1"/>
  <c r="Q11" i="65053" s="1"/>
  <c r="Q10" i="65053" s="1"/>
  <c r="BK13" i="65053"/>
  <c r="BK11" i="65053" s="1"/>
  <c r="AD11" i="65053" s="1"/>
  <c r="AD10" i="65053" s="1"/>
  <c r="AZ13" i="65053"/>
  <c r="AZ11" i="65053" s="1"/>
  <c r="S11" i="65053" s="1"/>
  <c r="S10" i="65053" s="1"/>
  <c r="BS13" i="65053"/>
  <c r="BS11" i="65053" s="1"/>
  <c r="AL11" i="65053" s="1"/>
  <c r="AL10" i="65053" s="1"/>
  <c r="BE13" i="65053"/>
  <c r="BE11" i="65053" s="1"/>
  <c r="X11" i="65053" s="1"/>
  <c r="X10" i="65053" s="1"/>
  <c r="BF13" i="65053"/>
  <c r="BF11" i="65053" s="1"/>
  <c r="Y11" i="65053" s="1"/>
  <c r="Y10" i="65053" s="1"/>
  <c r="AY13" i="65053"/>
  <c r="AY11" i="65053" s="1"/>
  <c r="R11" i="65053" s="1"/>
  <c r="R10" i="65053" s="1"/>
  <c r="BU13" i="65053"/>
  <c r="BU11" i="65053" s="1"/>
  <c r="AN11" i="65053" s="1"/>
  <c r="AN10" i="65053" s="1"/>
  <c r="BI13" i="65053"/>
  <c r="BI11" i="65053" s="1"/>
  <c r="AB11" i="65053" s="1"/>
  <c r="AB10" i="65053" s="1"/>
  <c r="BH13" i="65053"/>
  <c r="BH11" i="65053" s="1"/>
  <c r="AA11" i="65053" s="1"/>
  <c r="AA10" i="65053" s="1"/>
  <c r="BD13" i="65053"/>
  <c r="BD11" i="65053" s="1"/>
  <c r="W11" i="65053" s="1"/>
  <c r="W10" i="65053" s="1"/>
  <c r="BT13" i="65053"/>
  <c r="BT11" i="65053" s="1"/>
  <c r="AM11" i="65053" s="1"/>
  <c r="AM10" i="65053" s="1"/>
  <c r="BA13" i="65053"/>
  <c r="BA11" i="65053" s="1"/>
  <c r="T11" i="65053" s="1"/>
  <c r="T10" i="65053" s="1"/>
  <c r="AW13" i="65053"/>
  <c r="AW11" i="65053" s="1"/>
  <c r="P11" i="65053" s="1"/>
  <c r="P10" i="65053" s="1"/>
  <c r="BO13" i="65053"/>
  <c r="BO11" i="65053" s="1"/>
  <c r="AH11" i="65053" s="1"/>
  <c r="AH10" i="65053" s="1"/>
  <c r="AV13" i="65053"/>
  <c r="AV11" i="65053" s="1"/>
  <c r="O11" i="65053" s="1"/>
  <c r="O10" i="65053" s="1"/>
  <c r="AR13" i="65053"/>
  <c r="AR11" i="65053" s="1"/>
  <c r="K11" i="65053" s="1"/>
  <c r="K10" i="65053" s="1"/>
  <c r="BR13" i="65053"/>
  <c r="BR11" i="65053" s="1"/>
  <c r="AK11" i="65053" s="1"/>
  <c r="AK10" i="65053" s="1"/>
  <c r="BQ13" i="65053"/>
  <c r="BQ11" i="65053" s="1"/>
  <c r="AJ11" i="65053" s="1"/>
  <c r="AJ10" i="65053" s="1"/>
  <c r="BJ13" i="65053"/>
  <c r="BJ11" i="65053" s="1"/>
  <c r="AC11" i="65053" s="1"/>
  <c r="AC10" i="65053" s="1"/>
  <c r="BP13" i="65053"/>
  <c r="BP11" i="65053" s="1"/>
  <c r="AI11" i="65053" s="1"/>
  <c r="AI10" i="65053" s="1"/>
  <c r="BB13" i="65053"/>
  <c r="BB11" i="65053" s="1"/>
  <c r="U11" i="65053" s="1"/>
  <c r="U10" i="65053" s="1"/>
  <c r="BN13" i="65053"/>
  <c r="BN11" i="65053" s="1"/>
  <c r="AG11" i="65053" s="1"/>
  <c r="AG10" i="65053" s="1"/>
  <c r="BL13" i="65053"/>
  <c r="BL11" i="65053" s="1"/>
  <c r="AE11" i="65053" s="1"/>
  <c r="AE10" i="65053" s="1"/>
  <c r="AU13" i="65053"/>
  <c r="AU11" i="65053" s="1"/>
  <c r="N11" i="65053" s="1"/>
  <c r="N10" i="65053" s="1"/>
  <c r="AS13" i="65053"/>
  <c r="AS11" i="65053" s="1"/>
  <c r="L11" i="65053" s="1"/>
  <c r="L10" i="65053" s="1"/>
  <c r="BG13" i="65053"/>
  <c r="BG11" i="65053" s="1"/>
  <c r="Z11" i="65053" s="1"/>
  <c r="Z10" i="65053" s="1"/>
  <c r="BC13" i="65053"/>
  <c r="BC11" i="65053" s="1"/>
  <c r="V11" i="65053" s="1"/>
  <c r="V10" i="65053" s="1"/>
  <c r="BM13" i="65053"/>
  <c r="BM11" i="65053" s="1"/>
  <c r="AF11" i="65053" s="1"/>
  <c r="AF10" i="65053" s="1"/>
  <c r="AT13" i="65053"/>
  <c r="AT11" i="65053" s="1"/>
  <c r="M11" i="65053" s="1"/>
  <c r="M10" i="65053" s="1"/>
  <c r="EF111" i="65037" l="1"/>
  <c r="EG111" i="65037"/>
  <c r="EE111" i="65037"/>
  <c r="I13" i="65053"/>
  <c r="G13" i="65053" l="1"/>
  <c r="L25" i="65037" s="1"/>
  <c r="P14" i="65037" s="1"/>
  <c r="M49" i="65037" s="1"/>
  <c r="ED111" i="65037"/>
  <c r="EG112" i="65037" s="1"/>
  <c r="M47" i="65037" l="1"/>
  <c r="M48" i="65037"/>
  <c r="M45" i="65037"/>
  <c r="M46" i="65037"/>
  <c r="M43" i="65037"/>
  <c r="M44" i="65037"/>
  <c r="M40" i="65037"/>
  <c r="M39" i="65037"/>
  <c r="M42" i="65037"/>
  <c r="M41" i="65037"/>
  <c r="M37" i="65037"/>
  <c r="M38" i="65037"/>
  <c r="M35" i="65037"/>
  <c r="M36" i="65037"/>
  <c r="M33" i="65037"/>
  <c r="M34" i="65037"/>
  <c r="M31" i="65037"/>
  <c r="M32" i="65037"/>
  <c r="M29" i="65037"/>
  <c r="M30" i="65037"/>
  <c r="M27" i="65037"/>
  <c r="M28" i="65037"/>
  <c r="M25" i="65037"/>
  <c r="M26" i="65037"/>
  <c r="I59" i="65052"/>
  <c r="I58" i="65052"/>
  <c r="AX9" i="65037"/>
  <c r="AQ8" i="65037"/>
  <c r="EB111" i="65037"/>
  <c r="EC111" i="65037"/>
  <c r="EF112" i="65037"/>
  <c r="EE112" i="65037"/>
  <c r="K52" i="65037" l="1"/>
  <c r="I52" i="65037"/>
  <c r="I51" i="65037" s="1"/>
  <c r="AQ9" i="65037"/>
  <c r="Q33" i="65052"/>
  <c r="J52" i="65037"/>
  <c r="ED112" i="65037"/>
  <c r="EC112" i="65037" s="1"/>
  <c r="IM170" i="65037" l="1"/>
  <c r="IQ170" i="65037"/>
  <c r="IU170" i="65037"/>
  <c r="IY170" i="65037"/>
  <c r="EB112" i="65037"/>
  <c r="K53" i="65037" s="1"/>
  <c r="J53" i="65037"/>
  <c r="EF113" i="65037"/>
  <c r="EE113" i="65037"/>
  <c r="EG113" i="65037"/>
  <c r="I53" i="65037"/>
  <c r="ED113" i="65037" l="1"/>
  <c r="EF114" i="65037" s="1"/>
  <c r="EG114" i="65037" l="1"/>
  <c r="ED114" i="65037" s="1"/>
  <c r="EB114" i="65037" s="1"/>
  <c r="EB113" i="65037"/>
  <c r="EC113" i="65037"/>
  <c r="K54" i="65037" l="1"/>
  <c r="EG115" i="65037"/>
  <c r="EF115" i="65037"/>
  <c r="J54" i="65037"/>
  <c r="I54" i="65037"/>
  <c r="EC114" i="65037"/>
  <c r="K55" i="65037" s="1"/>
  <c r="J55" i="65037" l="1"/>
  <c r="ED115" i="65037"/>
  <c r="EG116" i="65037" s="1"/>
  <c r="I55" i="65037"/>
  <c r="EC115" i="65037" l="1"/>
  <c r="EB115" i="65037"/>
  <c r="EF116" i="65037"/>
  <c r="ED116" i="65037" s="1"/>
  <c r="EG117" i="65037" s="1"/>
  <c r="K56" i="65037" l="1"/>
  <c r="I56" i="65037"/>
  <c r="J56" i="65037"/>
  <c r="EB116" i="65037"/>
  <c r="EC116" i="65037"/>
  <c r="EF117" i="65037"/>
  <c r="ED117" i="65037" s="1"/>
  <c r="K57" i="65037" l="1"/>
  <c r="J57" i="65037"/>
  <c r="EC117" i="65037"/>
  <c r="EF118" i="65037"/>
  <c r="I57" i="65037"/>
  <c r="EG118" i="65037"/>
  <c r="EB117" i="65037"/>
  <c r="R52" i="65037" l="1"/>
  <c r="Q52" i="65037"/>
  <c r="P52" i="65037"/>
  <c r="ED118" i="65037"/>
  <c r="EG119" i="65037" s="1"/>
  <c r="EF119" i="65037" l="1"/>
  <c r="ED119" i="65037" s="1"/>
  <c r="EB118" i="65037"/>
  <c r="EC118" i="65037"/>
  <c r="R53" i="65037" l="1"/>
  <c r="P53" i="65037"/>
  <c r="Q53" i="65037"/>
  <c r="EB119" i="65037"/>
  <c r="EC119" i="65037"/>
  <c r="EG120" i="65037"/>
  <c r="ED120" i="65037" s="1"/>
  <c r="R54" i="65037" l="1"/>
  <c r="Q54" i="65037"/>
  <c r="P54" i="65037"/>
  <c r="EC120" i="65037"/>
  <c r="R55" i="65037" s="1"/>
  <c r="EB120" i="65037"/>
  <c r="EG121" i="65037"/>
  <c r="ED121" i="65037" s="1"/>
  <c r="P55" i="65037" l="1"/>
  <c r="Q55" i="65037"/>
  <c r="EB121" i="65037"/>
  <c r="EC121" i="65037"/>
  <c r="R56" i="65037" s="1"/>
  <c r="EG122" i="65037"/>
  <c r="ED122" i="65037" s="1"/>
  <c r="EB122" i="65037" l="1"/>
  <c r="EC122" i="65037"/>
  <c r="R57" i="65037" s="1"/>
  <c r="EG123" i="65037"/>
  <c r="ED123" i="65037" s="1"/>
  <c r="P56" i="65037"/>
  <c r="Q56" i="65037"/>
  <c r="Q57" i="65037" l="1"/>
  <c r="P57" i="65037"/>
  <c r="EB123" i="65037"/>
  <c r="EC123" i="65037"/>
  <c r="EG124" i="65037"/>
  <c r="ED124" i="65037" s="1"/>
  <c r="EB124" i="65037" l="1"/>
  <c r="EC124" i="65037"/>
  <c r="EG125" i="65037"/>
  <c r="ED125" i="65037" s="1"/>
  <c r="EB125" i="65037" l="1"/>
  <c r="EC125" i="65037"/>
  <c r="IM112" i="65037" l="1"/>
  <c r="IQ112" i="65037"/>
  <c r="IU112" i="65037"/>
  <c r="IY112" i="65037"/>
  <c r="BJ25" i="65037" l="1"/>
  <c r="AT55" i="65037" l="1"/>
  <c r="BK28" i="65037" l="1"/>
  <c r="BT37" i="65037" l="1"/>
  <c r="BO30" i="65037" l="1"/>
  <c r="AU59" i="65037" l="1"/>
  <c r="BQ29" i="65037" l="1"/>
  <c r="BQ30" i="65037" l="1"/>
  <c r="AU61" i="65037" l="1"/>
  <c r="AU60" i="65037" l="1"/>
  <c r="EW62" i="65037" l="1"/>
  <c r="EV62" i="65037" l="1"/>
  <c r="BR31" i="65037" l="1"/>
  <c r="EW59" i="65037" l="1"/>
  <c r="EW60" i="65037"/>
  <c r="EV60" i="65037" s="1"/>
  <c r="EV59" i="65037" l="1"/>
  <c r="HO184" i="65037" l="1"/>
  <c r="HS184" i="65037"/>
  <c r="HW184" i="65037"/>
  <c r="IA184" i="65037"/>
  <c r="IE184" i="65037"/>
  <c r="II184" i="65037"/>
  <c r="IM184" i="65037"/>
  <c r="IQ184" i="65037"/>
  <c r="IU184" i="65037"/>
  <c r="IY184" i="65037"/>
  <c r="HK183" i="65037"/>
  <c r="HO183" i="65037"/>
  <c r="HS183" i="65037"/>
  <c r="HW183" i="65037"/>
  <c r="IA183" i="65037"/>
  <c r="IE183" i="65037"/>
  <c r="II183" i="65037"/>
  <c r="IM183" i="65037"/>
  <c r="IQ183" i="65037"/>
  <c r="IU183" i="65037"/>
  <c r="IY183" i="65037"/>
  <c r="HK180" i="65037"/>
  <c r="HG181" i="65037"/>
  <c r="HS178" i="65037"/>
  <c r="HO179" i="65037"/>
  <c r="HW174" i="65037"/>
  <c r="IA175" i="65037"/>
  <c r="IE176" i="65037"/>
  <c r="IE171" i="65037"/>
  <c r="HW173" i="65037"/>
  <c r="IA172" i="65037"/>
  <c r="II170" i="65037"/>
  <c r="HC181" i="65037"/>
  <c r="HG180" i="65037"/>
  <c r="HK179" i="65037"/>
  <c r="HO178" i="65037"/>
  <c r="IA176" i="65037"/>
  <c r="HS174" i="65037"/>
  <c r="IA171" i="65037"/>
  <c r="IE170" i="65037"/>
  <c r="HW172" i="65037"/>
  <c r="HS173" i="65037"/>
  <c r="HC180" i="65037"/>
  <c r="HG179" i="65037"/>
  <c r="HK178" i="65037"/>
  <c r="HS175" i="65037"/>
  <c r="HW176" i="65037"/>
  <c r="HO173" i="65037"/>
  <c r="HW171" i="65037"/>
  <c r="HS172" i="65037"/>
  <c r="IA170" i="65037"/>
  <c r="HO174" i="65037"/>
  <c r="GY180" i="65037"/>
  <c r="HC179" i="65037"/>
  <c r="HG178" i="65037"/>
  <c r="HS176" i="65037"/>
  <c r="HO175" i="65037"/>
  <c r="HS171" i="65037"/>
  <c r="HK173" i="65037"/>
  <c r="HK174" i="65037"/>
  <c r="HO172" i="65037"/>
  <c r="HW170" i="65037"/>
  <c r="HO176" i="65037"/>
  <c r="GY179" i="65037"/>
  <c r="HC178" i="65037"/>
  <c r="HK172" i="65037"/>
  <c r="HS170" i="65037"/>
  <c r="HG173" i="65037"/>
  <c r="HG174" i="65037"/>
  <c r="HK175" i="65037"/>
  <c r="HO171" i="65037"/>
  <c r="HK176" i="65037"/>
  <c r="HG175" i="65037"/>
  <c r="GY178" i="65037"/>
  <c r="HG172" i="65037"/>
  <c r="HC174" i="65037"/>
  <c r="HC173" i="65037"/>
  <c r="GU179" i="65037"/>
  <c r="HK171" i="65037"/>
  <c r="HO170" i="65037"/>
  <c r="HC172" i="65037"/>
  <c r="GU178" i="65037"/>
  <c r="HC175" i="65037"/>
  <c r="GY173" i="65037"/>
  <c r="HG171" i="65037"/>
  <c r="HG176" i="65037"/>
  <c r="GY174" i="65037"/>
  <c r="HK170" i="65037"/>
  <c r="HC176" i="65037"/>
  <c r="GU174" i="65037"/>
  <c r="GQ178" i="65037"/>
  <c r="GY175" i="65037"/>
  <c r="GU175" i="65037"/>
  <c r="GY176" i="65037"/>
  <c r="GQ175" i="65037"/>
  <c r="GU176" i="65037"/>
  <c r="GQ176" i="65037"/>
  <c r="GM176" i="65037"/>
  <c r="BO32" i="65037" l="1"/>
  <c r="AT60" i="65037" l="1"/>
  <c r="AT59" i="65037"/>
  <c r="BL29" i="65037" l="1"/>
  <c r="AU62" i="65037" l="1"/>
  <c r="AU66" i="65037" l="1"/>
  <c r="BV32" i="65037" l="1"/>
  <c r="BM33" i="65037" l="1"/>
  <c r="BN33" i="65037" l="1"/>
  <c r="HW125" i="65037" l="1"/>
  <c r="IA125" i="65037"/>
  <c r="IE125" i="65037"/>
  <c r="II125" i="65037"/>
  <c r="IM125" i="65037"/>
  <c r="HK125" i="65037"/>
  <c r="HO125" i="65037"/>
  <c r="IU125" i="65037"/>
  <c r="IQ125" i="65037"/>
  <c r="HS125" i="65037"/>
  <c r="IY125" i="65037"/>
  <c r="BW38" i="65037"/>
  <c r="IA126" i="65037" l="1"/>
  <c r="IY126" i="65037"/>
  <c r="IU126" i="65037"/>
  <c r="IE126" i="65037"/>
  <c r="IM126" i="65037"/>
  <c r="HS126" i="65037"/>
  <c r="HO126" i="65037"/>
  <c r="HW126" i="65037"/>
  <c r="IQ126" i="65037"/>
  <c r="II126" i="65037"/>
  <c r="BX39" i="65037"/>
  <c r="BW39" i="65037" l="1"/>
  <c r="GM118" i="65037"/>
  <c r="GQ118" i="65037" l="1"/>
  <c r="GU117" i="65037" l="1"/>
  <c r="GY118" i="65037"/>
  <c r="GY115" i="65037"/>
  <c r="HK112" i="65037"/>
  <c r="HG113" i="65037"/>
  <c r="HG118" i="65037" l="1"/>
  <c r="HC117" i="65037"/>
  <c r="GU120" i="65037"/>
  <c r="HC114" i="65037"/>
  <c r="GQ117" i="65037"/>
  <c r="GU118" i="65037"/>
  <c r="GY117" i="65037"/>
  <c r="HC118" i="65037"/>
  <c r="GQ120" i="65037"/>
  <c r="GU116" i="65037"/>
  <c r="HW117" i="65037" l="1"/>
  <c r="HC123" i="65037"/>
  <c r="IA113" i="65037"/>
  <c r="HO120" i="65037"/>
  <c r="HG122" i="65037"/>
  <c r="HK121" i="65037"/>
  <c r="IE112" i="65037"/>
  <c r="HS115" i="65037"/>
  <c r="IA118" i="65037"/>
  <c r="HS116" i="65037"/>
  <c r="HK122" i="65037" l="1"/>
  <c r="IA117" i="65037"/>
  <c r="IA114" i="65037"/>
  <c r="II112" i="65037"/>
  <c r="HW115" i="65037"/>
  <c r="IE113" i="65037"/>
  <c r="HW116" i="65037"/>
  <c r="HG123" i="65037"/>
  <c r="HS120" i="65037"/>
  <c r="HO121" i="65037"/>
  <c r="IE118" i="65037"/>
  <c r="HO118" i="65037"/>
  <c r="HG116" i="65037"/>
  <c r="HS112" i="65037"/>
  <c r="HC121" i="65037"/>
  <c r="HO114" i="65037"/>
  <c r="HK115" i="65037"/>
  <c r="GY122" i="65037"/>
  <c r="HW112" i="65037"/>
  <c r="HS113" i="65037"/>
  <c r="HK116" i="65037"/>
  <c r="HG120" i="65037"/>
  <c r="HS118" i="65037"/>
  <c r="HO117" i="65037"/>
  <c r="HK114" i="65037"/>
  <c r="HW118" i="65037"/>
  <c r="HO115" i="65037"/>
  <c r="IA112" i="65037"/>
  <c r="HO116" i="65037"/>
  <c r="HW113" i="65037"/>
  <c r="HS117" i="65037"/>
  <c r="HC122" i="65037"/>
  <c r="HS114" i="65037"/>
  <c r="HG121" i="65037"/>
  <c r="HK120" i="65037"/>
  <c r="HO113" i="65037"/>
  <c r="HG115" i="65037"/>
  <c r="HC120" i="65037"/>
  <c r="HK117" i="65037"/>
  <c r="GY121" i="65037"/>
  <c r="HG114" i="65037" l="1"/>
  <c r="HK113" i="65037"/>
  <c r="GY120" i="65037"/>
  <c r="GU121" i="65037"/>
  <c r="HK118" i="65037"/>
  <c r="HG117" i="65037"/>
  <c r="HC115" i="65037"/>
  <c r="HC116" i="65037"/>
  <c r="HO112" i="65037"/>
  <c r="HW114" i="65037" l="1"/>
  <c r="GY116" i="65037"/>
  <c r="CG49" i="65037"/>
  <c r="BI49" i="65037" s="1"/>
  <c r="CF48" i="65037"/>
  <c r="CE47" i="65037"/>
  <c r="CD46" i="65037"/>
  <c r="CC45" i="65037"/>
  <c r="FD132" i="65037"/>
  <c r="FD134" i="65037"/>
  <c r="FD135" i="65037"/>
  <c r="FD136" i="65037"/>
  <c r="CB44" i="65037"/>
  <c r="CA43" i="65037"/>
  <c r="BZ42" i="65037"/>
  <c r="BU94" i="65037"/>
  <c r="BY41" i="65037" l="1"/>
  <c r="FD131" i="65037"/>
  <c r="BX40" i="65037"/>
  <c r="AT58" i="65037"/>
  <c r="HW175" i="65037"/>
  <c r="BD93" i="65037" l="1"/>
  <c r="BE93" i="65037" s="1"/>
  <c r="BF93" i="65037" s="1"/>
  <c r="BG93" i="65037" s="1"/>
  <c r="BD92" i="65037" l="1"/>
  <c r="BE92" i="65037" l="1"/>
  <c r="BF92" i="65037" s="1"/>
  <c r="BG92" i="65037" s="1"/>
  <c r="P7" i="65037" l="1"/>
  <c r="P8" i="65037" l="1"/>
  <c r="AU4" i="65037"/>
  <c r="AU8" i="65037"/>
  <c r="AU9" i="65037" s="1"/>
  <c r="N21" i="65037"/>
  <c r="EW56" i="65037"/>
  <c r="EW64" i="65037"/>
  <c r="EV64" i="65037" s="1"/>
  <c r="EW77" i="65037"/>
  <c r="EV77" i="65037" s="1"/>
  <c r="EW78" i="65037"/>
  <c r="EV78" i="65037" s="1"/>
  <c r="EW65" i="65037"/>
  <c r="EV65" i="65037" s="1"/>
  <c r="EW66" i="65037"/>
  <c r="EV66" i="65037" s="1"/>
  <c r="EW58" i="65037"/>
  <c r="EV58" i="65037" s="1"/>
  <c r="EW57" i="65037"/>
  <c r="EV57" i="65037" s="1"/>
  <c r="AU5" i="65037"/>
  <c r="AI5" i="65037" s="1"/>
  <c r="AV4" i="65037" l="1"/>
  <c r="Q8" i="65037"/>
  <c r="EV56" i="65037"/>
  <c r="EM171" i="65037"/>
  <c r="EM190" i="65037"/>
  <c r="EM191" i="65037"/>
  <c r="EM186" i="65037"/>
  <c r="EM192" i="65037"/>
  <c r="EM187" i="65037"/>
  <c r="EM189" i="65037"/>
  <c r="EM185" i="65037"/>
  <c r="EM193" i="65037"/>
  <c r="AW85" i="65037"/>
  <c r="AV85" i="65037" s="1"/>
  <c r="EM188" i="65037"/>
  <c r="AI8" i="65037"/>
  <c r="EM194" i="65037"/>
  <c r="EM183" i="65037"/>
  <c r="EM175" i="65037"/>
  <c r="EM179" i="65037"/>
  <c r="EM176" i="65037"/>
  <c r="EM182" i="65037"/>
  <c r="EM174" i="65037"/>
  <c r="EM173" i="65037"/>
  <c r="EM170" i="65037"/>
  <c r="EM181" i="65037"/>
  <c r="EM180" i="65037"/>
  <c r="EM172" i="65037"/>
  <c r="EM177" i="65037"/>
  <c r="EM184" i="65037"/>
  <c r="EM178" i="65037"/>
  <c r="AU85" i="65037"/>
  <c r="BD85" i="65037" s="1"/>
  <c r="AW4" i="65037" l="1"/>
  <c r="AX4" i="65037" s="1"/>
  <c r="AY4" i="65037" s="1"/>
  <c r="AH49" i="65052"/>
  <c r="O49" i="65052" s="1"/>
  <c r="AI9" i="65037"/>
  <c r="AR49" i="65052"/>
  <c r="DW169" i="65037"/>
  <c r="FD20" i="65037"/>
  <c r="T50" i="65037" s="1"/>
  <c r="BP85" i="65037"/>
  <c r="AU6" i="65037" l="1"/>
  <c r="AC72" i="65052"/>
  <c r="EW75" i="65037"/>
  <c r="EV75" i="65037" s="1"/>
  <c r="EW71" i="65037"/>
  <c r="DJ74" i="65037"/>
  <c r="DJ68" i="65037"/>
  <c r="DJ63" i="65037"/>
  <c r="DJ66" i="65037"/>
  <c r="DJ61" i="65037"/>
  <c r="DJ54" i="65037"/>
  <c r="DJ73" i="65037"/>
  <c r="DJ75" i="65037"/>
  <c r="DJ69" i="65037"/>
  <c r="DJ57" i="65037"/>
  <c r="DJ62" i="65037"/>
  <c r="DJ72" i="65037"/>
  <c r="DJ78" i="65037"/>
  <c r="DJ70" i="65037"/>
  <c r="DJ71" i="65037"/>
  <c r="DJ59" i="65037"/>
  <c r="DJ58" i="65037"/>
  <c r="DJ65" i="65037"/>
  <c r="DJ77" i="65037"/>
  <c r="DJ76" i="65037"/>
  <c r="DJ67" i="65037"/>
  <c r="DJ64" i="65037"/>
  <c r="DJ60" i="65037"/>
  <c r="DJ55" i="65037"/>
  <c r="DJ56" i="65037"/>
  <c r="AX137" i="65037"/>
  <c r="AX144" i="65037"/>
  <c r="AX149" i="65037"/>
  <c r="AX150" i="65037"/>
  <c r="AX135" i="65037"/>
  <c r="AX134" i="65037"/>
  <c r="AI6" i="65037"/>
  <c r="AX153" i="65037"/>
  <c r="AX138" i="65037"/>
  <c r="AX145" i="65037"/>
  <c r="AX154" i="65037"/>
  <c r="AX151" i="65037"/>
  <c r="AX146" i="65037"/>
  <c r="AX143" i="65037"/>
  <c r="AX142" i="65037"/>
  <c r="AX136" i="65037"/>
  <c r="AX141" i="65037"/>
  <c r="AX132" i="65037"/>
  <c r="AX131" i="65037"/>
  <c r="AX130" i="65037"/>
  <c r="AX133" i="65037"/>
  <c r="AX140" i="65037"/>
  <c r="AX148" i="65037"/>
  <c r="AX152" i="65037"/>
  <c r="AX139" i="65037"/>
  <c r="AX147" i="65037"/>
  <c r="BD125" i="65037"/>
  <c r="EN184" i="65037"/>
  <c r="EN179" i="65037"/>
  <c r="EN190" i="65037"/>
  <c r="EN177" i="65037"/>
  <c r="EN185" i="65037"/>
  <c r="EN188" i="65037"/>
  <c r="EN193" i="65037"/>
  <c r="EN174" i="65037"/>
  <c r="EN192" i="65037"/>
  <c r="EN171" i="65037"/>
  <c r="EN191" i="65037"/>
  <c r="EN178" i="65037"/>
  <c r="EN173" i="65037"/>
  <c r="EN175" i="65037"/>
  <c r="EN187" i="65037"/>
  <c r="EN172" i="65037"/>
  <c r="EN182" i="65037"/>
  <c r="EN194" i="65037"/>
  <c r="EN183" i="65037"/>
  <c r="EN170" i="65037"/>
  <c r="EN181" i="65037"/>
  <c r="EN189" i="65037"/>
  <c r="EN176" i="65037"/>
  <c r="EN186" i="65037"/>
  <c r="EN180" i="65037"/>
  <c r="F25" i="65052" l="1"/>
  <c r="C100" i="65052"/>
  <c r="F14" i="65052"/>
  <c r="C35" i="65052"/>
  <c r="C39" i="65052"/>
  <c r="DJ53" i="65037"/>
  <c r="DJ52" i="65037" s="1"/>
  <c r="N32" i="65037" s="1"/>
  <c r="EV71" i="65037"/>
  <c r="EW52" i="65037"/>
  <c r="EU75" i="65037" s="1"/>
  <c r="GM175" i="65037"/>
  <c r="GQ174" i="65037"/>
  <c r="GY172" i="65037"/>
  <c r="HG170" i="65037"/>
  <c r="GU173" i="65037"/>
  <c r="GI176" i="65037"/>
  <c r="HC171" i="65037"/>
  <c r="IM177" i="65037"/>
  <c r="IQ177" i="65037"/>
  <c r="IU177" i="65037"/>
  <c r="IY177" i="65037"/>
  <c r="HO177" i="65037"/>
  <c r="HG177" i="65037"/>
  <c r="GY177" i="65037"/>
  <c r="HC177" i="65037"/>
  <c r="GQ177" i="65037"/>
  <c r="HW177" i="65037"/>
  <c r="HS177" i="65037"/>
  <c r="HK177" i="65037"/>
  <c r="II177" i="65037"/>
  <c r="IA177" i="65037"/>
  <c r="GU177" i="65037"/>
  <c r="GM177" i="65037"/>
  <c r="IE177" i="65037"/>
  <c r="N26" i="65037" l="1"/>
  <c r="N42" i="65037"/>
  <c r="N40" i="65037"/>
  <c r="N39" i="65037"/>
  <c r="EU71" i="65037"/>
  <c r="N36" i="65037"/>
  <c r="N45" i="65037"/>
  <c r="N35" i="65037"/>
  <c r="N28" i="65037"/>
  <c r="N48" i="65037"/>
  <c r="N47" i="65037"/>
  <c r="N49" i="65037"/>
  <c r="EU65" i="65037"/>
  <c r="EU57" i="65037"/>
  <c r="EU58" i="65037"/>
  <c r="EU69" i="65037"/>
  <c r="EU68" i="65037"/>
  <c r="EU55" i="65037"/>
  <c r="EU73" i="65037"/>
  <c r="EU54" i="65037"/>
  <c r="EU63" i="65037"/>
  <c r="EU78" i="65037"/>
  <c r="EU60" i="65037"/>
  <c r="EU72" i="65037"/>
  <c r="EU67" i="65037"/>
  <c r="EU64" i="65037"/>
  <c r="EU59" i="65037"/>
  <c r="EU70" i="65037"/>
  <c r="EU61" i="65037"/>
  <c r="EU62" i="65037"/>
  <c r="EU66" i="65037"/>
  <c r="EU56" i="65037"/>
  <c r="EU77" i="65037"/>
  <c r="EU76" i="65037"/>
  <c r="EU74" i="65037"/>
  <c r="N25" i="65037"/>
  <c r="IM119" i="65037"/>
  <c r="IQ119" i="65037"/>
  <c r="IU119" i="65037"/>
  <c r="IY119" i="65037"/>
  <c r="GM119" i="65037"/>
  <c r="GQ119" i="65037"/>
  <c r="GU119" i="65037"/>
  <c r="HC119" i="65037"/>
  <c r="HG119" i="65037"/>
  <c r="HK119" i="65037"/>
  <c r="IE119" i="65037"/>
  <c r="HS119" i="65037"/>
  <c r="HW119" i="65037"/>
  <c r="II119" i="65037"/>
  <c r="IA119" i="65037"/>
  <c r="HO119" i="65037"/>
  <c r="GY119" i="65037"/>
  <c r="EU53" i="65037" l="1"/>
  <c r="EW53" i="65037" s="1"/>
  <c r="EV51" i="65037" s="1" a="1"/>
  <c r="EV51" i="65037" s="1"/>
  <c r="EW51" i="65037" s="1"/>
  <c r="EV53" i="65037" s="1"/>
  <c r="AY53" i="65037" s="1"/>
  <c r="FO170" i="65037"/>
  <c r="FK170" i="65037"/>
  <c r="GU172" i="65037"/>
  <c r="GI175" i="65037"/>
  <c r="GQ173" i="65037"/>
  <c r="HC170" i="65037"/>
  <c r="GM174" i="65037"/>
  <c r="GY171" i="65037"/>
  <c r="GY170" i="65037"/>
  <c r="GQ172" i="65037"/>
  <c r="GI174" i="65037"/>
  <c r="GU171" i="65037"/>
  <c r="GM173" i="65037"/>
  <c r="GE175" i="65037"/>
  <c r="GE174" i="65037"/>
  <c r="GU170" i="65037"/>
  <c r="GQ171" i="65037"/>
  <c r="GM172" i="65037"/>
  <c r="GI173" i="65037"/>
  <c r="GM171" i="65037"/>
  <c r="GQ170" i="65037"/>
  <c r="GI172" i="65037"/>
  <c r="GE173" i="65037"/>
  <c r="GA174" i="65037"/>
  <c r="GM170" i="65037"/>
  <c r="GA173" i="65037"/>
  <c r="GE172" i="65037"/>
  <c r="GI171" i="65037"/>
  <c r="GI170" i="65037"/>
  <c r="GE171" i="65037"/>
  <c r="GA172" i="65037"/>
  <c r="FW173" i="65037"/>
  <c r="FW172" i="65037"/>
  <c r="GA171" i="65037"/>
  <c r="GE170" i="65037"/>
  <c r="GA170" i="65037"/>
  <c r="FW171" i="65037"/>
  <c r="FS172" i="65037"/>
  <c r="FS171" i="65037"/>
  <c r="FW170" i="65037"/>
  <c r="FO171" i="65037"/>
  <c r="FS170" i="65037"/>
  <c r="EO194" i="65037" l="1"/>
  <c r="EP194" i="65037" s="1"/>
  <c r="FH194" i="65037" s="1"/>
  <c r="EO170" i="65037"/>
  <c r="EP170" i="65037" s="1"/>
  <c r="FH170" i="65037" s="1"/>
  <c r="EO186" i="65037"/>
  <c r="EP186" i="65037" s="1"/>
  <c r="FH186" i="65037" s="1"/>
  <c r="EO192" i="65037"/>
  <c r="EP192" i="65037" s="1"/>
  <c r="FH192" i="65037" s="1"/>
  <c r="AY57" i="65037"/>
  <c r="BB57" i="65037" s="1"/>
  <c r="AY70" i="65037"/>
  <c r="BB70" i="65037" s="1"/>
  <c r="BC70" i="65037" s="1"/>
  <c r="EO184" i="65037"/>
  <c r="EP184" i="65037" s="1"/>
  <c r="FH184" i="65037" s="1"/>
  <c r="AY59" i="65037"/>
  <c r="BB59" i="65037" s="1"/>
  <c r="BC59" i="65037" s="1"/>
  <c r="AY58" i="65037"/>
  <c r="BB58" i="65037" s="1"/>
  <c r="BC58" i="65037" s="1"/>
  <c r="AY69" i="65037"/>
  <c r="BB69" i="65037" s="1"/>
  <c r="BC69" i="65037" s="1"/>
  <c r="AY60" i="65037"/>
  <c r="BB60" i="65037" s="1"/>
  <c r="BC60" i="65037" s="1"/>
  <c r="EO177" i="65037"/>
  <c r="EP177" i="65037" s="1"/>
  <c r="FH177" i="65037" s="1"/>
  <c r="AY64" i="65037"/>
  <c r="BB64" i="65037" s="1"/>
  <c r="BC64" i="65037" s="1"/>
  <c r="AY63" i="65037"/>
  <c r="BB63" i="65037" s="1"/>
  <c r="BC63" i="65037" s="1"/>
  <c r="EO171" i="65037"/>
  <c r="EP171" i="65037" s="1"/>
  <c r="FH171" i="65037" s="1"/>
  <c r="AY61" i="65037"/>
  <c r="BB61" i="65037" s="1"/>
  <c r="BC61" i="65037" s="1"/>
  <c r="AY54" i="65037"/>
  <c r="BB54" i="65037" s="1"/>
  <c r="BC54" i="65037" s="1"/>
  <c r="EO175" i="65037"/>
  <c r="EP175" i="65037" s="1"/>
  <c r="FH175" i="65037" s="1"/>
  <c r="EO191" i="65037"/>
  <c r="EP191" i="65037" s="1"/>
  <c r="FH191" i="65037" s="1"/>
  <c r="AY62" i="65037"/>
  <c r="BB62" i="65037" s="1"/>
  <c r="BC62" i="65037" s="1"/>
  <c r="AY73" i="65037"/>
  <c r="BB73" i="65037" s="1"/>
  <c r="BC73" i="65037" s="1"/>
  <c r="AY74" i="65037"/>
  <c r="BB74" i="65037" s="1"/>
  <c r="BC74" i="65037" s="1"/>
  <c r="EO180" i="65037"/>
  <c r="EP180" i="65037" s="1"/>
  <c r="FH180" i="65037" s="1"/>
  <c r="EO176" i="65037"/>
  <c r="EP176" i="65037" s="1"/>
  <c r="FH176" i="65037" s="1"/>
  <c r="AY77" i="65037"/>
  <c r="BB77" i="65037" s="1"/>
  <c r="BC77" i="65037" s="1"/>
  <c r="EO193" i="65037"/>
  <c r="EP193" i="65037" s="1"/>
  <c r="FH193" i="65037" s="1"/>
  <c r="FK194" i="65037" s="1"/>
  <c r="AY76" i="65037"/>
  <c r="BB76" i="65037" s="1"/>
  <c r="BC76" i="65037" s="1"/>
  <c r="AY78" i="65037"/>
  <c r="BB78" i="65037" s="1"/>
  <c r="BC78" i="65037" s="1"/>
  <c r="AT116" i="65037"/>
  <c r="AY72" i="65037"/>
  <c r="BB72" i="65037" s="1"/>
  <c r="BC72" i="65037" s="1"/>
  <c r="EO189" i="65037"/>
  <c r="EP189" i="65037" s="1"/>
  <c r="FH189" i="65037" s="1"/>
  <c r="FK190" i="65037" s="1"/>
  <c r="AY71" i="65037"/>
  <c r="BB71" i="65037" s="1"/>
  <c r="BC71" i="65037" s="1"/>
  <c r="EO183" i="65037"/>
  <c r="EP183" i="65037" s="1"/>
  <c r="FH183" i="65037" s="1"/>
  <c r="EO182" i="65037"/>
  <c r="EP182" i="65037" s="1"/>
  <c r="FH182" i="65037" s="1"/>
  <c r="EO181" i="65037"/>
  <c r="EP181" i="65037" s="1"/>
  <c r="FH181" i="65037" s="1"/>
  <c r="AY75" i="65037"/>
  <c r="BB75" i="65037" s="1"/>
  <c r="BC75" i="65037" s="1"/>
  <c r="AY55" i="65037"/>
  <c r="BB55" i="65037" s="1"/>
  <c r="BC55" i="65037" s="1"/>
  <c r="EO174" i="65037"/>
  <c r="EP174" i="65037" s="1"/>
  <c r="FH174" i="65037" s="1"/>
  <c r="EO179" i="65037"/>
  <c r="EP179" i="65037" s="1"/>
  <c r="FH179" i="65037" s="1"/>
  <c r="AY67" i="65037"/>
  <c r="BB67" i="65037" s="1"/>
  <c r="BC67" i="65037" s="1"/>
  <c r="EO172" i="65037"/>
  <c r="EP172" i="65037" s="1"/>
  <c r="FH172" i="65037" s="1"/>
  <c r="EO173" i="65037"/>
  <c r="EP173" i="65037" s="1"/>
  <c r="FH173" i="65037" s="1"/>
  <c r="EO188" i="65037"/>
  <c r="EP188" i="65037" s="1"/>
  <c r="FH188" i="65037" s="1"/>
  <c r="AY66" i="65037"/>
  <c r="BB66" i="65037" s="1"/>
  <c r="BC66" i="65037" s="1"/>
  <c r="EO185" i="65037"/>
  <c r="EP185" i="65037" s="1"/>
  <c r="FH185" i="65037" s="1"/>
  <c r="EO178" i="65037"/>
  <c r="EP178" i="65037" s="1"/>
  <c r="FH178" i="65037" s="1"/>
  <c r="AY56" i="65037"/>
  <c r="BB56" i="65037" s="1"/>
  <c r="AY65" i="65037"/>
  <c r="BB65" i="65037" s="1"/>
  <c r="BC65" i="65037" s="1"/>
  <c r="AY68" i="65037"/>
  <c r="BB68" i="65037" s="1"/>
  <c r="BC68" i="65037" s="1"/>
  <c r="EO187" i="65037"/>
  <c r="EP187" i="65037" s="1"/>
  <c r="FH187" i="65037" s="1"/>
  <c r="EO190" i="65037"/>
  <c r="EP190" i="65037" s="1"/>
  <c r="FH190" i="65037" s="1"/>
  <c r="FE170" i="65037"/>
  <c r="FB170" i="65037" s="1"/>
  <c r="EX170" i="65037" s="1"/>
  <c r="HC194" i="65037" l="1"/>
  <c r="GQ191" i="65037"/>
  <c r="GI185" i="65037"/>
  <c r="GU192" i="65037"/>
  <c r="GU188" i="65037"/>
  <c r="GM186" i="65037"/>
  <c r="FW182" i="65037"/>
  <c r="FO180" i="65037"/>
  <c r="GY193" i="65037"/>
  <c r="GY189" i="65037"/>
  <c r="GQ187" i="65037"/>
  <c r="GA183" i="65037"/>
  <c r="HC190" i="65037"/>
  <c r="GE184" i="65037"/>
  <c r="FS181" i="65037"/>
  <c r="FK179" i="65037"/>
  <c r="HK194" i="65037"/>
  <c r="HG193" i="65037"/>
  <c r="HG189" i="65037"/>
  <c r="GY187" i="65037"/>
  <c r="GI183" i="65037"/>
  <c r="HK190" i="65037"/>
  <c r="GM184" i="65037"/>
  <c r="GA181" i="65037"/>
  <c r="GY191" i="65037"/>
  <c r="GQ185" i="65037"/>
  <c r="FW180" i="65037"/>
  <c r="FO178" i="65037"/>
  <c r="FK177" i="65037"/>
  <c r="HC192" i="65037"/>
  <c r="HC188" i="65037"/>
  <c r="GU186" i="65037"/>
  <c r="GE182" i="65037"/>
  <c r="FS179" i="65037"/>
  <c r="HG194" i="65037"/>
  <c r="HC193" i="65037"/>
  <c r="HC189" i="65037"/>
  <c r="GU187" i="65037"/>
  <c r="GE183" i="65037"/>
  <c r="FO179" i="65037"/>
  <c r="HG190" i="65037"/>
  <c r="GI184" i="65037"/>
  <c r="FK178" i="65037"/>
  <c r="GU191" i="65037"/>
  <c r="GM185" i="65037"/>
  <c r="FS180" i="65037"/>
  <c r="GY192" i="65037"/>
  <c r="GY188" i="65037"/>
  <c r="GQ186" i="65037"/>
  <c r="GA182" i="65037"/>
  <c r="FW181" i="65037"/>
  <c r="FO194" i="65037"/>
  <c r="FK193" i="65037"/>
  <c r="GY194" i="65037"/>
  <c r="GU193" i="65037"/>
  <c r="FS182" i="65037"/>
  <c r="FO181" i="65037"/>
  <c r="GY190" i="65037"/>
  <c r="GQ188" i="65037"/>
  <c r="GA184" i="65037"/>
  <c r="GI186" i="65037"/>
  <c r="GM191" i="65037"/>
  <c r="GU189" i="65037"/>
  <c r="FK180" i="65037"/>
  <c r="GM187" i="65037"/>
  <c r="GQ192" i="65037"/>
  <c r="FW183" i="65037"/>
  <c r="GE185" i="65037"/>
  <c r="GM189" i="65037"/>
  <c r="GE191" i="65037"/>
  <c r="GE187" i="65037"/>
  <c r="FO183" i="65037"/>
  <c r="GQ190" i="65037"/>
  <c r="GM193" i="65037"/>
  <c r="FS184" i="65037"/>
  <c r="FW185" i="65037"/>
  <c r="GQ194" i="65037"/>
  <c r="FK182" i="65037"/>
  <c r="GI188" i="65037"/>
  <c r="GI192" i="65037"/>
  <c r="GA186" i="65037"/>
  <c r="GU194" i="65037"/>
  <c r="GQ193" i="65037"/>
  <c r="GQ189" i="65037"/>
  <c r="FO182" i="65037"/>
  <c r="FW184" i="65037"/>
  <c r="GE186" i="65037"/>
  <c r="GU190" i="65037"/>
  <c r="FK181" i="65037"/>
  <c r="GI191" i="65037"/>
  <c r="GA185" i="65037"/>
  <c r="GI187" i="65037"/>
  <c r="GM192" i="65037"/>
  <c r="GM188" i="65037"/>
  <c r="FS183" i="65037"/>
  <c r="FO193" i="65037"/>
  <c r="FS194" i="65037"/>
  <c r="FK192" i="65037"/>
  <c r="IE194" i="65037"/>
  <c r="HS191" i="65037"/>
  <c r="IA189" i="65037"/>
  <c r="HK185" i="65037"/>
  <c r="GU181" i="65037"/>
  <c r="GE177" i="65037"/>
  <c r="GA176" i="65037"/>
  <c r="HW192" i="65037"/>
  <c r="HO186" i="65037"/>
  <c r="GY182" i="65037"/>
  <c r="FK172" i="65037"/>
  <c r="FW175" i="65037"/>
  <c r="FS174" i="65037"/>
  <c r="IA193" i="65037"/>
  <c r="HS187" i="65037"/>
  <c r="HC183" i="65037"/>
  <c r="GQ180" i="65037"/>
  <c r="GI178" i="65037"/>
  <c r="IE190" i="65037"/>
  <c r="HW188" i="65037"/>
  <c r="HG184" i="65037"/>
  <c r="GM179" i="65037"/>
  <c r="FO173" i="65037"/>
  <c r="GE190" i="65037"/>
  <c r="GA189" i="65037"/>
  <c r="GE194" i="65037"/>
  <c r="FS191" i="65037"/>
  <c r="GA193" i="65037"/>
  <c r="FO186" i="65037"/>
  <c r="FK185" i="65037"/>
  <c r="FW188" i="65037"/>
  <c r="FW192" i="65037"/>
  <c r="FS187" i="65037"/>
  <c r="FK187" i="65037"/>
  <c r="FW190" i="65037"/>
  <c r="FO192" i="65037"/>
  <c r="FS193" i="65037"/>
  <c r="FS189" i="65037"/>
  <c r="FW194" i="65037"/>
  <c r="FO188" i="65037"/>
  <c r="FK191" i="65037"/>
  <c r="FS190" i="65037"/>
  <c r="FK188" i="65037"/>
  <c r="FO189" i="65037"/>
  <c r="HS194" i="65037"/>
  <c r="HG191" i="65037"/>
  <c r="GY185" i="65037"/>
  <c r="HK192" i="65037"/>
  <c r="HK188" i="65037"/>
  <c r="HC186" i="65037"/>
  <c r="GM182" i="65037"/>
  <c r="GE180" i="65037"/>
  <c r="FO176" i="65037"/>
  <c r="HO193" i="65037"/>
  <c r="HO189" i="65037"/>
  <c r="HG187" i="65037"/>
  <c r="GQ183" i="65037"/>
  <c r="GA179" i="65037"/>
  <c r="FW178" i="65037"/>
  <c r="HS190" i="65037"/>
  <c r="GU184" i="65037"/>
  <c r="GI181" i="65037"/>
  <c r="FK175" i="65037"/>
  <c r="FS177" i="65037"/>
  <c r="GM190" i="65037"/>
  <c r="FW186" i="65037"/>
  <c r="GE188" i="65037"/>
  <c r="GE192" i="65037"/>
  <c r="FK183" i="65037"/>
  <c r="GI189" i="65037"/>
  <c r="GI193" i="65037"/>
  <c r="GA191" i="65037"/>
  <c r="FS185" i="65037"/>
  <c r="FO184" i="65037"/>
  <c r="GM194" i="65037"/>
  <c r="GA187" i="65037"/>
  <c r="HO194" i="65037"/>
  <c r="HC191" i="65037"/>
  <c r="GU185" i="65037"/>
  <c r="FW179" i="65037"/>
  <c r="GA180" i="65037"/>
  <c r="HG192" i="65037"/>
  <c r="HG188" i="65037"/>
  <c r="GY186" i="65037"/>
  <c r="GI182" i="65037"/>
  <c r="FK176" i="65037"/>
  <c r="HK193" i="65037"/>
  <c r="HK189" i="65037"/>
  <c r="HC187" i="65037"/>
  <c r="GM183" i="65037"/>
  <c r="FO177" i="65037"/>
  <c r="GE181" i="65037"/>
  <c r="HO190" i="65037"/>
  <c r="GQ184" i="65037"/>
  <c r="FS178" i="65037"/>
  <c r="II190" i="65037"/>
  <c r="HS186" i="65037"/>
  <c r="HC182" i="65037"/>
  <c r="GM178" i="65037"/>
  <c r="FS173" i="65037"/>
  <c r="FK171" i="65037"/>
  <c r="FE171" i="65037" s="1"/>
  <c r="FB171" i="65037" s="1"/>
  <c r="EX171" i="65037" s="1"/>
  <c r="IE193" i="65037"/>
  <c r="HW191" i="65037"/>
  <c r="HW187" i="65037"/>
  <c r="HG183" i="65037"/>
  <c r="GQ179" i="65037"/>
  <c r="FW174" i="65037"/>
  <c r="FO172" i="65037"/>
  <c r="II194" i="65037"/>
  <c r="IA192" i="65037"/>
  <c r="IA188" i="65037"/>
  <c r="HK184" i="65037"/>
  <c r="GU180" i="65037"/>
  <c r="GA175" i="65037"/>
  <c r="IE189" i="65037"/>
  <c r="HO185" i="65037"/>
  <c r="GY181" i="65037"/>
  <c r="GI177" i="65037"/>
  <c r="GE176" i="65037"/>
  <c r="FK189" i="65037"/>
  <c r="FO190" i="65037"/>
  <c r="HW194" i="65037"/>
  <c r="HS193" i="65037"/>
  <c r="HS189" i="65037"/>
  <c r="HK187" i="65037"/>
  <c r="GU183" i="65037"/>
  <c r="GM181" i="65037"/>
  <c r="HW190" i="65037"/>
  <c r="GY184" i="65037"/>
  <c r="GE179" i="65037"/>
  <c r="HK191" i="65037"/>
  <c r="HC185" i="65037"/>
  <c r="FK174" i="65037"/>
  <c r="FW177" i="65037"/>
  <c r="GI180" i="65037"/>
  <c r="HO192" i="65037"/>
  <c r="HO188" i="65037"/>
  <c r="HG186" i="65037"/>
  <c r="GQ182" i="65037"/>
  <c r="FO175" i="65037"/>
  <c r="FS176" i="65037"/>
  <c r="GA178" i="65037"/>
  <c r="FO187" i="65037"/>
  <c r="GA190" i="65037"/>
  <c r="FO191" i="65037"/>
  <c r="GA194" i="65037"/>
  <c r="FW189" i="65037"/>
  <c r="FS188" i="65037"/>
  <c r="FW193" i="65037"/>
  <c r="FS192" i="65037"/>
  <c r="FK186" i="65037"/>
  <c r="IA194" i="65037"/>
  <c r="HS192" i="65037"/>
  <c r="HS188" i="65037"/>
  <c r="HC184" i="65037"/>
  <c r="GA177" i="65037"/>
  <c r="HW189" i="65037"/>
  <c r="HG185" i="65037"/>
  <c r="GE178" i="65037"/>
  <c r="FW176" i="65037"/>
  <c r="GM180" i="65037"/>
  <c r="IA190" i="65037"/>
  <c r="HK186" i="65037"/>
  <c r="GU182" i="65037"/>
  <c r="FS175" i="65037"/>
  <c r="HW193" i="65037"/>
  <c r="HO191" i="65037"/>
  <c r="HO187" i="65037"/>
  <c r="GY183" i="65037"/>
  <c r="FK173" i="65037"/>
  <c r="GI179" i="65037"/>
  <c r="FO174" i="65037"/>
  <c r="GQ181" i="65037"/>
  <c r="GI190" i="65037"/>
  <c r="FW187" i="65037"/>
  <c r="GA188" i="65037"/>
  <c r="FS186" i="65037"/>
  <c r="GE193" i="65037"/>
  <c r="GI194" i="65037"/>
  <c r="GE189" i="65037"/>
  <c r="FK184" i="65037"/>
  <c r="FW191" i="65037"/>
  <c r="FO185" i="65037"/>
  <c r="GA192" i="65037"/>
  <c r="FE173" i="65037" l="1"/>
  <c r="FB173" i="65037" s="1"/>
  <c r="EX173" i="65037" s="1"/>
  <c r="FE184" i="65037"/>
  <c r="FB184" i="65037" s="1"/>
  <c r="EX184" i="65037" s="1"/>
  <c r="EV184" i="65037" s="1"/>
  <c r="EW184" i="65037" s="1"/>
  <c r="FE179" i="65037"/>
  <c r="FB179" i="65037" s="1"/>
  <c r="EX179" i="65037" s="1"/>
  <c r="FE187" i="65037"/>
  <c r="FB187" i="65037" s="1"/>
  <c r="EX187" i="65037" s="1"/>
  <c r="EV187" i="65037" s="1"/>
  <c r="EW187" i="65037" s="1"/>
  <c r="FE174" i="65037"/>
  <c r="FB174" i="65037" s="1"/>
  <c r="EX174" i="65037" s="1"/>
  <c r="FE190" i="65037"/>
  <c r="FB190" i="65037" s="1"/>
  <c r="EX190" i="65037" s="1"/>
  <c r="FE178" i="65037"/>
  <c r="FB178" i="65037" s="1"/>
  <c r="EX178" i="65037" s="1"/>
  <c r="FE188" i="65037"/>
  <c r="FB188" i="65037" s="1"/>
  <c r="EX188" i="65037" s="1"/>
  <c r="EV188" i="65037" s="1"/>
  <c r="EW188" i="65037" s="1"/>
  <c r="FE175" i="65037"/>
  <c r="FB175" i="65037" s="1"/>
  <c r="EX175" i="65037" s="1"/>
  <c r="FE172" i="65037"/>
  <c r="FE181" i="65037"/>
  <c r="FB181" i="65037" s="1"/>
  <c r="EX181" i="65037" s="1"/>
  <c r="FE193" i="65037"/>
  <c r="FB193" i="65037" s="1"/>
  <c r="EX193" i="65037" s="1"/>
  <c r="EV193" i="65037" s="1"/>
  <c r="EW193" i="65037" s="1"/>
  <c r="FE177" i="65037"/>
  <c r="FB177" i="65037" s="1"/>
  <c r="EX177" i="65037" s="1"/>
  <c r="FE186" i="65037"/>
  <c r="FB186" i="65037" s="1"/>
  <c r="EX186" i="65037" s="1"/>
  <c r="EV186" i="65037" s="1"/>
  <c r="EW186" i="65037" s="1"/>
  <c r="FE176" i="65037"/>
  <c r="FB176" i="65037" s="1"/>
  <c r="EX176" i="65037" s="1"/>
  <c r="FE185" i="65037"/>
  <c r="FB185" i="65037" s="1"/>
  <c r="EX185" i="65037" s="1"/>
  <c r="EV185" i="65037" s="1"/>
  <c r="EW185" i="65037" s="1"/>
  <c r="FE180" i="65037"/>
  <c r="FB180" i="65037" s="1"/>
  <c r="EX180" i="65037" s="1"/>
  <c r="FE194" i="65037"/>
  <c r="FB194" i="65037" s="1"/>
  <c r="EX194" i="65037" s="1"/>
  <c r="FE183" i="65037"/>
  <c r="FB183" i="65037" s="1"/>
  <c r="EX183" i="65037" s="1"/>
  <c r="FE191" i="65037"/>
  <c r="FB191" i="65037" s="1"/>
  <c r="EX191" i="65037" s="1"/>
  <c r="EV191" i="65037" s="1"/>
  <c r="EW191" i="65037" s="1"/>
  <c r="FE189" i="65037"/>
  <c r="FB189" i="65037" s="1"/>
  <c r="EX189" i="65037" s="1"/>
  <c r="EV189" i="65037" s="1"/>
  <c r="EW189" i="65037" s="1"/>
  <c r="FE192" i="65037"/>
  <c r="FB192" i="65037" s="1"/>
  <c r="EX192" i="65037" s="1"/>
  <c r="EV192" i="65037" s="1"/>
  <c r="EW192" i="65037" s="1"/>
  <c r="FE182" i="65037"/>
  <c r="FB182" i="65037" s="1"/>
  <c r="EX182" i="65037" s="1"/>
  <c r="FB172" i="65037" l="1"/>
  <c r="FE195" i="65037"/>
  <c r="FE169" i="65037"/>
  <c r="FC177" i="65037" l="1"/>
  <c r="FD177" i="65037" s="1"/>
  <c r="FC173" i="65037"/>
  <c r="FD173" i="65037" s="1"/>
  <c r="FC170" i="65037"/>
  <c r="FD170" i="65037" s="1"/>
  <c r="FC186" i="65037"/>
  <c r="FD186" i="65037" s="1"/>
  <c r="FC190" i="65037"/>
  <c r="FD190" i="65037" s="1"/>
  <c r="FC192" i="65037"/>
  <c r="FD192" i="65037" s="1"/>
  <c r="FC171" i="65037"/>
  <c r="FD171" i="65037" s="1"/>
  <c r="FC184" i="65037"/>
  <c r="FD184" i="65037" s="1"/>
  <c r="FC194" i="65037"/>
  <c r="FD194" i="65037" s="1"/>
  <c r="FC180" i="65037"/>
  <c r="FD180" i="65037" s="1"/>
  <c r="FC187" i="65037"/>
  <c r="FD187" i="65037" s="1"/>
  <c r="FC183" i="65037"/>
  <c r="FD183" i="65037" s="1"/>
  <c r="FC188" i="65037"/>
  <c r="FD188" i="65037" s="1"/>
  <c r="FC193" i="65037"/>
  <c r="FD193" i="65037" s="1"/>
  <c r="FC189" i="65037"/>
  <c r="FD189" i="65037" s="1"/>
  <c r="FC179" i="65037"/>
  <c r="FD179" i="65037" s="1"/>
  <c r="FC176" i="65037"/>
  <c r="FD176" i="65037" s="1"/>
  <c r="FC182" i="65037"/>
  <c r="FD182" i="65037" s="1"/>
  <c r="FC191" i="65037"/>
  <c r="FD191" i="65037" s="1"/>
  <c r="FC175" i="65037"/>
  <c r="FD175" i="65037" s="1"/>
  <c r="FC172" i="65037"/>
  <c r="FD172" i="65037" s="1"/>
  <c r="FC178" i="65037"/>
  <c r="FD178" i="65037" s="1"/>
  <c r="FC185" i="65037"/>
  <c r="FD185" i="65037" s="1"/>
  <c r="FC181" i="65037"/>
  <c r="FD181" i="65037" s="1"/>
  <c r="FC174" i="65037"/>
  <c r="FD174" i="65037" s="1"/>
  <c r="EX172" i="65037"/>
  <c r="FB169" i="65037"/>
  <c r="EZ172" i="65037" s="1"/>
  <c r="FA172" i="65037" s="1"/>
  <c r="EZ177" i="65037" l="1"/>
  <c r="FA177" i="65037" s="1"/>
  <c r="EZ191" i="65037"/>
  <c r="FA191" i="65037" s="1"/>
  <c r="EZ181" i="65037"/>
  <c r="FA181" i="65037" s="1"/>
  <c r="EZ184" i="65037"/>
  <c r="FA184" i="65037" s="1"/>
  <c r="EZ185" i="65037"/>
  <c r="FA185" i="65037" s="1"/>
  <c r="EZ180" i="65037"/>
  <c r="FA180" i="65037" s="1"/>
  <c r="EZ173" i="65037"/>
  <c r="FA173" i="65037" s="1"/>
  <c r="EZ182" i="65037"/>
  <c r="FA182" i="65037" s="1"/>
  <c r="EZ188" i="65037"/>
  <c r="FA188" i="65037" s="1"/>
  <c r="EZ171" i="65037"/>
  <c r="FA171" i="65037" s="1"/>
  <c r="EZ186" i="65037"/>
  <c r="FA186" i="65037" s="1"/>
  <c r="EZ190" i="65037"/>
  <c r="FA190" i="65037" s="1"/>
  <c r="EZ194" i="65037"/>
  <c r="FA194" i="65037" s="1"/>
  <c r="EZ179" i="65037"/>
  <c r="FA179" i="65037" s="1"/>
  <c r="EZ176" i="65037"/>
  <c r="FA176" i="65037" s="1"/>
  <c r="EZ193" i="65037"/>
  <c r="FA193" i="65037" s="1"/>
  <c r="EZ178" i="65037"/>
  <c r="FA178" i="65037" s="1"/>
  <c r="EZ192" i="65037"/>
  <c r="FA192" i="65037" s="1"/>
  <c r="EZ187" i="65037"/>
  <c r="FA187" i="65037" s="1"/>
  <c r="EZ183" i="65037"/>
  <c r="FA183" i="65037" s="1"/>
  <c r="EZ170" i="65037"/>
  <c r="FA170" i="65037" s="1"/>
  <c r="EZ189" i="65037"/>
  <c r="FA189" i="65037" s="1"/>
  <c r="EZ175" i="65037"/>
  <c r="FA175" i="65037" s="1"/>
  <c r="EZ174" i="65037"/>
  <c r="FA174" i="65037" s="1"/>
  <c r="FD195" i="65037"/>
  <c r="EX169" i="65037"/>
  <c r="EV182" i="65037" l="1"/>
  <c r="EW182" i="65037" s="1"/>
  <c r="EV183" i="65037"/>
  <c r="EW183" i="65037" s="1"/>
  <c r="EV180" i="65037"/>
  <c r="EW180" i="65037" s="1"/>
  <c r="EV181" i="65037"/>
  <c r="EW181" i="65037" s="1"/>
  <c r="EV178" i="65037"/>
  <c r="EW178" i="65037" s="1"/>
  <c r="EV179" i="65037"/>
  <c r="EW179" i="65037" s="1"/>
  <c r="EV176" i="65037"/>
  <c r="EW176" i="65037" s="1"/>
  <c r="EV177" i="65037"/>
  <c r="EW177" i="65037" s="1"/>
  <c r="EV174" i="65037"/>
  <c r="EW174" i="65037" s="1"/>
  <c r="EV175" i="65037"/>
  <c r="EW175" i="65037" s="1"/>
  <c r="EV171" i="65037"/>
  <c r="EW171" i="65037" s="1"/>
  <c r="EV173" i="65037"/>
  <c r="EW173" i="65037" s="1"/>
  <c r="EV172" i="65037"/>
  <c r="EW172" i="65037" s="1"/>
  <c r="EV170" i="65037"/>
  <c r="EV194" i="65037"/>
  <c r="EV190" i="65037"/>
  <c r="FA195" i="65037"/>
  <c r="EW194" i="65037" l="1"/>
  <c r="EW170" i="65037"/>
  <c r="EW190" i="65037"/>
  <c r="CB28" i="65037"/>
  <c r="EW195" i="65037" l="1"/>
  <c r="ER171" i="65037" l="1"/>
  <c r="ER191" i="65037"/>
  <c r="ER181" i="65037"/>
  <c r="ER179" i="65037"/>
  <c r="ER186" i="65037"/>
  <c r="ER174" i="65037"/>
  <c r="ER182" i="65037"/>
  <c r="ER189" i="65037"/>
  <c r="ER183" i="65037"/>
  <c r="ER173" i="65037"/>
  <c r="ER193" i="65037"/>
  <c r="ER180" i="65037"/>
  <c r="ER184" i="65037"/>
  <c r="ER188" i="65037"/>
  <c r="ER176" i="65037"/>
  <c r="ER185" i="65037"/>
  <c r="ER187" i="65037"/>
  <c r="ER192" i="65037"/>
  <c r="ER178" i="65037"/>
  <c r="ER177" i="65037"/>
  <c r="ER175" i="65037"/>
  <c r="ER172" i="65037"/>
  <c r="ER194" i="65037"/>
  <c r="ER190" i="65037"/>
  <c r="ER170" i="65037"/>
  <c r="EV25" i="65037" l="1"/>
  <c r="ES170" i="65037"/>
  <c r="ES190" i="65037"/>
  <c r="EW45" i="65037" s="1"/>
  <c r="EV45" i="65037"/>
  <c r="EV32" i="65037"/>
  <c r="ES177" i="65037"/>
  <c r="EW32" i="65037" s="1"/>
  <c r="EV40" i="65037"/>
  <c r="ES185" i="65037"/>
  <c r="EW40" i="65037" s="1"/>
  <c r="EV35" i="65037"/>
  <c r="ES180" i="65037"/>
  <c r="EW35" i="65037" s="1"/>
  <c r="ES189" i="65037"/>
  <c r="EW44" i="65037" s="1"/>
  <c r="EV44" i="65037"/>
  <c r="EV34" i="65037"/>
  <c r="ES179" i="65037"/>
  <c r="EW34" i="65037" s="1"/>
  <c r="ES175" i="65037"/>
  <c r="EW30" i="65037" s="1"/>
  <c r="EV30" i="65037"/>
  <c r="EV49" i="65037"/>
  <c r="ES194" i="65037"/>
  <c r="EW49" i="65037" s="1"/>
  <c r="ES178" i="65037"/>
  <c r="EW33" i="65037" s="1"/>
  <c r="EV33" i="65037"/>
  <c r="EV31" i="65037"/>
  <c r="ES176" i="65037"/>
  <c r="EW31" i="65037" s="1"/>
  <c r="ES193" i="65037"/>
  <c r="EW48" i="65037" s="1"/>
  <c r="EV48" i="65037"/>
  <c r="EV37" i="65037"/>
  <c r="ES182" i="65037"/>
  <c r="EW37" i="65037" s="1"/>
  <c r="ES181" i="65037"/>
  <c r="EW36" i="65037" s="1"/>
  <c r="EV36" i="65037"/>
  <c r="ES172" i="65037"/>
  <c r="EW27" i="65037" s="1"/>
  <c r="EV27" i="65037"/>
  <c r="EV47" i="65037"/>
  <c r="ES192" i="65037"/>
  <c r="EW47" i="65037" s="1"/>
  <c r="ES188" i="65037"/>
  <c r="EW43" i="65037" s="1"/>
  <c r="EV43" i="65037"/>
  <c r="ES173" i="65037"/>
  <c r="EW28" i="65037" s="1"/>
  <c r="EV28" i="65037"/>
  <c r="EV29" i="65037"/>
  <c r="ES174" i="65037"/>
  <c r="EW29" i="65037" s="1"/>
  <c r="EV46" i="65037"/>
  <c r="ES191" i="65037"/>
  <c r="EW46" i="65037" s="1"/>
  <c r="ES187" i="65037"/>
  <c r="EW42" i="65037" s="1"/>
  <c r="EV42" i="65037"/>
  <c r="EV39" i="65037"/>
  <c r="ES184" i="65037"/>
  <c r="EW39" i="65037" s="1"/>
  <c r="EV38" i="65037"/>
  <c r="ES183" i="65037"/>
  <c r="EW38" i="65037" s="1"/>
  <c r="ES186" i="65037"/>
  <c r="EW41" i="65037" s="1"/>
  <c r="EV41" i="65037"/>
  <c r="EV26" i="65037"/>
  <c r="ES171" i="65037"/>
  <c r="EW26" i="65037" s="1"/>
  <c r="N46" i="65037"/>
  <c r="N44" i="65037"/>
  <c r="N38" i="65037"/>
  <c r="N43" i="65037"/>
  <c r="N37" i="65037"/>
  <c r="EW25" i="65037" l="1"/>
  <c r="ER168" i="65037"/>
  <c r="ES195" i="65037"/>
  <c r="EW23" i="65037" l="1"/>
  <c r="BV85" i="65037" s="1"/>
  <c r="BU85" i="65037" s="1"/>
  <c r="EW50" i="65037"/>
  <c r="X52" i="65052"/>
  <c r="Y52" i="65052" s="1"/>
  <c r="Y53" i="65052" s="1"/>
  <c r="ES168" i="65037"/>
  <c r="W52" i="65052" s="1"/>
  <c r="BW85" i="65037" l="1"/>
  <c r="BY85" i="65037" s="1"/>
  <c r="BI85" i="65037"/>
  <c r="BJ85" i="65037"/>
  <c r="BO85" i="65037" s="1"/>
  <c r="DU9" i="65037"/>
  <c r="EK9" i="65037"/>
  <c r="EP9" i="65037"/>
  <c r="EQ9" i="65037"/>
  <c r="EB9" i="65037"/>
  <c r="DV9" i="65037"/>
  <c r="AT90" i="65037"/>
  <c r="DZ9" i="65037"/>
  <c r="DX9" i="65037"/>
  <c r="EF9" i="65037"/>
  <c r="DT9" i="65037"/>
  <c r="AT91" i="65037"/>
  <c r="BC23" i="65037"/>
  <c r="ER9" i="65037"/>
  <c r="EN9" i="65037"/>
  <c r="EI9" i="65037"/>
  <c r="EO9" i="65037"/>
  <c r="AU10" i="65037"/>
  <c r="AI10" i="65037" s="1"/>
  <c r="EL9" i="65037"/>
  <c r="EC9" i="65037"/>
  <c r="DY9" i="65037"/>
  <c r="AT93" i="65037"/>
  <c r="AT89" i="65037"/>
  <c r="DW9" i="65037"/>
  <c r="AT85" i="65037"/>
  <c r="BH85" i="65037" s="1"/>
  <c r="EG9" i="65037"/>
  <c r="EA9" i="65037"/>
  <c r="EJ9" i="65037"/>
  <c r="EM9" i="65037"/>
  <c r="EE9" i="65037"/>
  <c r="AT86" i="65037"/>
  <c r="ED9" i="65037"/>
  <c r="AT88" i="65037"/>
  <c r="EH9" i="65037"/>
  <c r="AT92" i="65037"/>
  <c r="AT87" i="65037"/>
  <c r="BH49" i="65037"/>
  <c r="BG49" i="65037" s="1"/>
  <c r="DS50" i="65037" l="1"/>
  <c r="DP43" i="65037"/>
  <c r="DO43" i="65037" s="1"/>
  <c r="B43" i="65037" s="1"/>
  <c r="DP42" i="65037"/>
  <c r="DO42" i="65037" s="1"/>
  <c r="B42" i="65037" s="1"/>
  <c r="DP37" i="65037"/>
  <c r="DO37" i="65037" s="1"/>
  <c r="B37" i="65037" s="1"/>
  <c r="DP33" i="65037"/>
  <c r="DO33" i="65037" s="1"/>
  <c r="B33" i="65037" s="1"/>
  <c r="DP28" i="65037"/>
  <c r="DO28" i="65037" s="1"/>
  <c r="DP25" i="65037"/>
  <c r="DP38" i="65037"/>
  <c r="DO38" i="65037" s="1"/>
  <c r="B38" i="65037" s="1"/>
  <c r="DP46" i="65037"/>
  <c r="DO46" i="65037" s="1"/>
  <c r="B46" i="65037" s="1"/>
  <c r="DP40" i="65037"/>
  <c r="DO40" i="65037" s="1"/>
  <c r="B40" i="65037" s="1"/>
  <c r="DP30" i="65037"/>
  <c r="DO30" i="65037" s="1"/>
  <c r="B30" i="65037" s="1"/>
  <c r="DP36" i="65037"/>
  <c r="DO36" i="65037" s="1"/>
  <c r="B36" i="65037" s="1"/>
  <c r="DP32" i="65037"/>
  <c r="DO32" i="65037" s="1"/>
  <c r="B32" i="65037" s="1"/>
  <c r="DS8" i="65037"/>
  <c r="DS9" i="65037" s="1"/>
  <c r="DP47" i="65037"/>
  <c r="DO47" i="65037" s="1"/>
  <c r="B47" i="65037" s="1"/>
  <c r="DP44" i="65037"/>
  <c r="DO44" i="65037" s="1"/>
  <c r="B44" i="65037" s="1"/>
  <c r="DP41" i="65037"/>
  <c r="DO41" i="65037" s="1"/>
  <c r="B41" i="65037" s="1"/>
  <c r="DP35" i="65037"/>
  <c r="DO35" i="65037" s="1"/>
  <c r="B35" i="65037" s="1"/>
  <c r="DP31" i="65037"/>
  <c r="DO31" i="65037" s="1"/>
  <c r="B31" i="65037" s="1"/>
  <c r="DP27" i="65037"/>
  <c r="DO27" i="65037" s="1"/>
  <c r="DP48" i="65037"/>
  <c r="DO48" i="65037" s="1"/>
  <c r="B48" i="65037" s="1"/>
  <c r="DP45" i="65037"/>
  <c r="DO45" i="65037" s="1"/>
  <c r="B45" i="65037" s="1"/>
  <c r="DP39" i="65037"/>
  <c r="DO39" i="65037" s="1"/>
  <c r="B39" i="65037" s="1"/>
  <c r="DP34" i="65037"/>
  <c r="DP29" i="65037"/>
  <c r="DO29" i="65037" s="1"/>
  <c r="DP26" i="65037"/>
  <c r="DP49" i="65037"/>
  <c r="DO49" i="65037" s="1"/>
  <c r="B49" i="65037" s="1"/>
  <c r="BZ85" i="65037"/>
  <c r="BX85" i="65037" s="1"/>
  <c r="BC24" i="65037"/>
  <c r="BC47" i="65037" s="1"/>
  <c r="BQ32" i="65037"/>
  <c r="DR61" i="65037" l="1"/>
  <c r="A32" i="65037"/>
  <c r="DF61" i="65037"/>
  <c r="DR62" i="65037"/>
  <c r="DF62" i="65037"/>
  <c r="A33" i="65037"/>
  <c r="BC46" i="65037"/>
  <c r="DO34" i="65037"/>
  <c r="B34" i="65037" s="1"/>
  <c r="DR73" i="65037"/>
  <c r="A44" i="65037"/>
  <c r="DF73" i="65037"/>
  <c r="A36" i="65037"/>
  <c r="DR65" i="65037"/>
  <c r="DR67" i="65037"/>
  <c r="A38" i="65037"/>
  <c r="DF67" i="65037"/>
  <c r="DR66" i="65037"/>
  <c r="A37" i="65037"/>
  <c r="DR77" i="65037"/>
  <c r="A48" i="65037"/>
  <c r="DF77" i="65037"/>
  <c r="DR75" i="65037"/>
  <c r="A46" i="65037"/>
  <c r="DF75" i="65037"/>
  <c r="BC48" i="65037"/>
  <c r="DR78" i="65037"/>
  <c r="DF78" i="65037"/>
  <c r="A49" i="65037"/>
  <c r="A39" i="65037"/>
  <c r="DR68" i="65037"/>
  <c r="DF68" i="65037"/>
  <c r="DF60" i="65037"/>
  <c r="DR60" i="65037"/>
  <c r="A31" i="65037"/>
  <c r="DR76" i="65037"/>
  <c r="A47" i="65037"/>
  <c r="DF76" i="65037"/>
  <c r="DF59" i="65037"/>
  <c r="A30" i="65037"/>
  <c r="DR59" i="65037"/>
  <c r="DO25" i="65037"/>
  <c r="DR71" i="65037"/>
  <c r="A42" i="65037"/>
  <c r="DF71" i="65037"/>
  <c r="DR70" i="65037"/>
  <c r="A41" i="65037"/>
  <c r="DF70" i="65037"/>
  <c r="BC49" i="65037"/>
  <c r="DO26" i="65037"/>
  <c r="DR74" i="65037"/>
  <c r="DF74" i="65037"/>
  <c r="A45" i="65037"/>
  <c r="DF64" i="65037"/>
  <c r="A35" i="65037"/>
  <c r="DR64" i="65037"/>
  <c r="ES167" i="65037"/>
  <c r="AG10" i="65037"/>
  <c r="DR69" i="65037"/>
  <c r="DF69" i="65037"/>
  <c r="A40" i="65037"/>
  <c r="DR72" i="65037"/>
  <c r="DF72" i="65037"/>
  <c r="A43" i="65037"/>
  <c r="DF63" i="65037" l="1"/>
  <c r="A34" i="65037"/>
  <c r="DR63" i="65037"/>
  <c r="EF171" i="65037"/>
  <c r="B26" i="65037"/>
  <c r="B25" i="65037"/>
  <c r="EF170" i="65037"/>
  <c r="DR54" i="65037" l="1"/>
  <c r="BA25" i="65037"/>
  <c r="A25" i="65037"/>
  <c r="FB54" i="65037" s="1"/>
  <c r="FC54" i="65037" s="1" a="1"/>
  <c r="FC54" i="65037" s="1"/>
  <c r="X73" i="65052"/>
  <c r="DF54" i="65037"/>
  <c r="AZ25" i="65037"/>
  <c r="DR55" i="65037"/>
  <c r="BA26" i="65037"/>
  <c r="AZ26" i="65037"/>
  <c r="A26" i="65037"/>
  <c r="FB55" i="65037" s="1"/>
  <c r="FC55" i="65037" s="1" a="1"/>
  <c r="FC55" i="65037" s="1"/>
  <c r="X74" i="65052"/>
  <c r="DF55" i="65037"/>
  <c r="EA171" i="65037"/>
  <c r="DY171" i="65037"/>
  <c r="DX171" i="65037" s="1"/>
  <c r="DY170" i="65037"/>
  <c r="DX170" i="65037" s="1"/>
  <c r="EA170" i="65037"/>
  <c r="HG112" i="65037" l="1"/>
  <c r="GU115" i="65037"/>
  <c r="GI118" i="65037"/>
  <c r="GQ116" i="65037"/>
  <c r="GY114" i="65037"/>
  <c r="HC113" i="65037"/>
  <c r="GM117" i="65037"/>
  <c r="BV38" i="65037" l="1"/>
  <c r="AT72" i="65037" l="1"/>
  <c r="BX31" i="65037" l="1"/>
  <c r="BX37" i="65037"/>
  <c r="AU68" i="65037" l="1"/>
  <c r="BP37" i="65037" l="1"/>
  <c r="BQ38" i="65037" l="1"/>
  <c r="BW30" i="65037" l="1"/>
  <c r="AV60" i="65037" l="1"/>
  <c r="AV61" i="65037" l="1"/>
  <c r="AV67" i="65037"/>
  <c r="AV68" i="65037"/>
  <c r="AV72" i="65037" l="1"/>
  <c r="AU67" i="65037"/>
  <c r="AV71" i="65037" l="1"/>
  <c r="CA26" i="65037"/>
  <c r="AV57" i="65037"/>
  <c r="AV56" i="65037"/>
  <c r="FD129" i="65037"/>
  <c r="BU28" i="65037" l="1"/>
  <c r="AT65" i="65037" l="1"/>
  <c r="BC57" i="65037" l="1"/>
  <c r="BC56" i="65037" l="1"/>
  <c r="BC79" i="65037" l="1"/>
  <c r="BB79" i="65037" s="1"/>
  <c r="BH78" i="65037" s="1"/>
  <c r="BC80" i="65037"/>
  <c r="CH78" i="65037" l="1"/>
  <c r="BG78" i="65037"/>
  <c r="BF78" i="65037" s="1"/>
  <c r="BH76" i="65037"/>
  <c r="CF76" i="65037" s="1"/>
  <c r="BH77" i="65037"/>
  <c r="BH74" i="65037"/>
  <c r="BH75" i="65037"/>
  <c r="BH72" i="65037"/>
  <c r="BH73" i="65037"/>
  <c r="BB80" i="65037"/>
  <c r="BH116" i="65037" s="1"/>
  <c r="BI116" i="65037" s="1"/>
  <c r="BH56" i="65037"/>
  <c r="BH54" i="65037"/>
  <c r="BH59" i="65037"/>
  <c r="BH61" i="65037"/>
  <c r="BH63" i="65037"/>
  <c r="BH65" i="65037"/>
  <c r="BH67" i="65037"/>
  <c r="BH69" i="65037"/>
  <c r="BH71" i="65037"/>
  <c r="BH57" i="65037"/>
  <c r="BH55" i="65037"/>
  <c r="BH60" i="65037"/>
  <c r="BH62" i="65037"/>
  <c r="BH64" i="65037"/>
  <c r="BH66" i="65037"/>
  <c r="BH68" i="65037"/>
  <c r="BH70" i="65037"/>
  <c r="BH58" i="65037"/>
  <c r="AT117" i="65037"/>
  <c r="AT121" i="65037"/>
  <c r="AT122" i="65037"/>
  <c r="AT118" i="65037"/>
  <c r="AT119" i="65037"/>
  <c r="AT123" i="65037"/>
  <c r="AT120" i="65037"/>
  <c r="AT124" i="65037"/>
  <c r="CA118" i="65037" l="1"/>
  <c r="CA119" i="65037"/>
  <c r="CA116" i="65037"/>
  <c r="CA117" i="65037"/>
  <c r="CA139" i="65037"/>
  <c r="CA115" i="65037"/>
  <c r="CG76" i="65037"/>
  <c r="BG76" i="65037"/>
  <c r="BF76" i="65037" s="1"/>
  <c r="CF77" i="65037"/>
  <c r="CF78" i="65037"/>
  <c r="CH76" i="65037"/>
  <c r="CD77" i="65037"/>
  <c r="CG78" i="65037"/>
  <c r="BG77" i="65037"/>
  <c r="BF77" i="65037" s="1"/>
  <c r="CH77" i="65037"/>
  <c r="CG77" i="65037"/>
  <c r="CA137" i="65037"/>
  <c r="CA138" i="65037"/>
  <c r="CD75" i="65037"/>
  <c r="BG74" i="65037"/>
  <c r="BF74" i="65037" s="1"/>
  <c r="CD78" i="65037"/>
  <c r="CD74" i="65037"/>
  <c r="CD76" i="65037"/>
  <c r="CF74" i="65037"/>
  <c r="CG74" i="65037"/>
  <c r="CB75" i="65037"/>
  <c r="CH74" i="65037"/>
  <c r="CC72" i="65037"/>
  <c r="CG75" i="65037"/>
  <c r="CH75" i="65037"/>
  <c r="CE77" i="65037"/>
  <c r="CE78" i="65037"/>
  <c r="CF75" i="65037"/>
  <c r="CE76" i="65037"/>
  <c r="BG75" i="65037"/>
  <c r="BF75" i="65037" s="1"/>
  <c r="CE75" i="65037"/>
  <c r="CE74" i="65037"/>
  <c r="CA135" i="65037"/>
  <c r="CA136" i="65037"/>
  <c r="CB78" i="65037"/>
  <c r="CH72" i="65037"/>
  <c r="CD72" i="65037"/>
  <c r="CG72" i="65037"/>
  <c r="CE72" i="65037"/>
  <c r="CF72" i="65037"/>
  <c r="CB74" i="65037"/>
  <c r="CB72" i="65037"/>
  <c r="CB76" i="65037"/>
  <c r="CB77" i="65037"/>
  <c r="CB73" i="65037"/>
  <c r="BG73" i="65037"/>
  <c r="BF73" i="65037" s="1"/>
  <c r="CF73" i="65037"/>
  <c r="CC75" i="65037"/>
  <c r="CC74" i="65037"/>
  <c r="CE73" i="65037"/>
  <c r="CC73" i="65037"/>
  <c r="CC76" i="65037"/>
  <c r="CC77" i="65037"/>
  <c r="CH73" i="65037"/>
  <c r="CG73" i="65037"/>
  <c r="CC78" i="65037"/>
  <c r="CD73" i="65037"/>
  <c r="CA133" i="65037"/>
  <c r="CA134" i="65037"/>
  <c r="BH121" i="65037"/>
  <c r="BI121" i="65037" s="1"/>
  <c r="BH119" i="65037"/>
  <c r="BI119" i="65037" s="1"/>
  <c r="BH117" i="65037"/>
  <c r="BI117" i="65037" s="1"/>
  <c r="CD119" i="65037" s="1"/>
  <c r="BH115" i="65037"/>
  <c r="BI115" i="65037" s="1"/>
  <c r="BH122" i="65037"/>
  <c r="BI122" i="65037" s="1"/>
  <c r="BH120" i="65037"/>
  <c r="BI120" i="65037" s="1"/>
  <c r="BH118" i="65037"/>
  <c r="BI118" i="65037" s="1"/>
  <c r="BM55" i="65037"/>
  <c r="BQ55" i="65037"/>
  <c r="BU55" i="65037"/>
  <c r="BY55" i="65037"/>
  <c r="CC55" i="65037"/>
  <c r="CG55" i="65037"/>
  <c r="BJ55" i="65037"/>
  <c r="BN55" i="65037"/>
  <c r="BR55" i="65037"/>
  <c r="BV55" i="65037"/>
  <c r="BZ55" i="65037"/>
  <c r="CD55" i="65037"/>
  <c r="CH55" i="65037"/>
  <c r="BK55" i="65037"/>
  <c r="BO55" i="65037"/>
  <c r="BS55" i="65037"/>
  <c r="BW55" i="65037"/>
  <c r="CA55" i="65037"/>
  <c r="CE55" i="65037"/>
  <c r="BL55" i="65037"/>
  <c r="BP55" i="65037"/>
  <c r="BT55" i="65037"/>
  <c r="BX55" i="65037"/>
  <c r="CB55" i="65037"/>
  <c r="CF55" i="65037"/>
  <c r="BK72" i="65037"/>
  <c r="BK76" i="65037"/>
  <c r="BK73" i="65037"/>
  <c r="BK75" i="65037"/>
  <c r="BK77" i="65037"/>
  <c r="BK74" i="65037"/>
  <c r="BK78" i="65037"/>
  <c r="AU124" i="65037"/>
  <c r="AX124" i="65037" s="1" a="1"/>
  <c r="AX124" i="65037" s="1"/>
  <c r="BT76" i="65037"/>
  <c r="CH64" i="65037"/>
  <c r="BP64" i="65037"/>
  <c r="BM64" i="65037"/>
  <c r="CG64" i="65037"/>
  <c r="BU64" i="65037"/>
  <c r="CA64" i="65037"/>
  <c r="BO64" i="65037"/>
  <c r="CD64" i="65037"/>
  <c r="BT77" i="65037"/>
  <c r="BW64" i="65037"/>
  <c r="BT64" i="65037"/>
  <c r="BY64" i="65037"/>
  <c r="BT75" i="65037"/>
  <c r="BT78" i="65037"/>
  <c r="CC64" i="65037"/>
  <c r="BT73" i="65037"/>
  <c r="BT72" i="65037"/>
  <c r="BZ64" i="65037"/>
  <c r="BQ64" i="65037"/>
  <c r="BX64" i="65037"/>
  <c r="CE64" i="65037"/>
  <c r="BN64" i="65037"/>
  <c r="CB64" i="65037"/>
  <c r="BT74" i="65037"/>
  <c r="CF64" i="65037"/>
  <c r="BK64" i="65037"/>
  <c r="BL64" i="65037"/>
  <c r="BS64" i="65037"/>
  <c r="BJ64" i="65037"/>
  <c r="BR64" i="65037"/>
  <c r="BV64" i="65037"/>
  <c r="AU123" i="65037"/>
  <c r="AW123" i="65037" s="1" a="1"/>
  <c r="AW123" i="65037" s="1"/>
  <c r="AU121" i="65037"/>
  <c r="AW121" i="65037" s="1" a="1"/>
  <c r="AW121" i="65037" s="1"/>
  <c r="BX72" i="65037"/>
  <c r="CG68" i="65037"/>
  <c r="CC68" i="65037"/>
  <c r="CA68" i="65037"/>
  <c r="BP68" i="65037"/>
  <c r="BX68" i="65037"/>
  <c r="BY68" i="65037"/>
  <c r="BX73" i="65037"/>
  <c r="BX75" i="65037"/>
  <c r="CE68" i="65037"/>
  <c r="BO68" i="65037"/>
  <c r="BR68" i="65037"/>
  <c r="BT68" i="65037"/>
  <c r="BS68" i="65037"/>
  <c r="BU68" i="65037"/>
  <c r="BX74" i="65037"/>
  <c r="CH68" i="65037"/>
  <c r="CB68" i="65037"/>
  <c r="BX76" i="65037"/>
  <c r="BV68" i="65037"/>
  <c r="BJ68" i="65037"/>
  <c r="BK68" i="65037"/>
  <c r="CF68" i="65037"/>
  <c r="BM68" i="65037"/>
  <c r="BX77" i="65037"/>
  <c r="BW68" i="65037"/>
  <c r="BQ68" i="65037"/>
  <c r="BL68" i="65037"/>
  <c r="CD68" i="65037"/>
  <c r="BX78" i="65037"/>
  <c r="BN68" i="65037"/>
  <c r="BZ68" i="65037"/>
  <c r="BP72" i="65037"/>
  <c r="BT60" i="65037"/>
  <c r="BP75" i="65037"/>
  <c r="BY60" i="65037"/>
  <c r="BP76" i="65037"/>
  <c r="BK60" i="65037"/>
  <c r="BP73" i="65037"/>
  <c r="BX60" i="65037"/>
  <c r="CA60" i="65037"/>
  <c r="CG60" i="65037"/>
  <c r="BN60" i="65037"/>
  <c r="BW60" i="65037"/>
  <c r="BQ60" i="65037"/>
  <c r="BS60" i="65037"/>
  <c r="BP74" i="65037"/>
  <c r="CE60" i="65037"/>
  <c r="CF60" i="65037"/>
  <c r="BZ60" i="65037"/>
  <c r="BO60" i="65037"/>
  <c r="BP60" i="65037"/>
  <c r="BV60" i="65037"/>
  <c r="CH60" i="65037"/>
  <c r="BP78" i="65037"/>
  <c r="BP77" i="65037"/>
  <c r="BM60" i="65037"/>
  <c r="CD60" i="65037"/>
  <c r="BU60" i="65037"/>
  <c r="CB60" i="65037"/>
  <c r="CC60" i="65037"/>
  <c r="BR60" i="65037"/>
  <c r="BL60" i="65037"/>
  <c r="BJ60" i="65037"/>
  <c r="BY73" i="65037"/>
  <c r="BY76" i="65037"/>
  <c r="BW69" i="65037"/>
  <c r="BS69" i="65037"/>
  <c r="BY78" i="65037"/>
  <c r="CH69" i="65037"/>
  <c r="BT69" i="65037"/>
  <c r="CA69" i="65037"/>
  <c r="BY74" i="65037"/>
  <c r="BO69" i="65037"/>
  <c r="CD69" i="65037"/>
  <c r="BJ69" i="65037"/>
  <c r="BZ69" i="65037"/>
  <c r="BY69" i="65037"/>
  <c r="BX69" i="65037"/>
  <c r="CF69" i="65037"/>
  <c r="BY77" i="65037"/>
  <c r="CB69" i="65037"/>
  <c r="BL69" i="65037"/>
  <c r="BY75" i="65037"/>
  <c r="BQ69" i="65037"/>
  <c r="CC69" i="65037"/>
  <c r="BP69" i="65037"/>
  <c r="CG69" i="65037"/>
  <c r="BN69" i="65037"/>
  <c r="BY72" i="65037"/>
  <c r="BV69" i="65037"/>
  <c r="BM69" i="65037"/>
  <c r="BK69" i="65037"/>
  <c r="CE69" i="65037"/>
  <c r="BU69" i="65037"/>
  <c r="BR69" i="65037"/>
  <c r="BQ77" i="65037"/>
  <c r="BM61" i="65037"/>
  <c r="CB61" i="65037"/>
  <c r="BK61" i="65037"/>
  <c r="CC61" i="65037"/>
  <c r="BX61" i="65037"/>
  <c r="BQ61" i="65037"/>
  <c r="CH61" i="65037"/>
  <c r="BQ73" i="65037"/>
  <c r="BW61" i="65037"/>
  <c r="BQ72" i="65037"/>
  <c r="CG61" i="65037"/>
  <c r="BS61" i="65037"/>
  <c r="BO61" i="65037"/>
  <c r="BY61" i="65037"/>
  <c r="BQ74" i="65037"/>
  <c r="CF61" i="65037"/>
  <c r="BQ76" i="65037"/>
  <c r="BQ78" i="65037"/>
  <c r="BU61" i="65037"/>
  <c r="CA61" i="65037"/>
  <c r="BP61" i="65037"/>
  <c r="BZ61" i="65037"/>
  <c r="BQ75" i="65037"/>
  <c r="BJ61" i="65037"/>
  <c r="CE61" i="65037"/>
  <c r="CD61" i="65037"/>
  <c r="BT61" i="65037"/>
  <c r="BL61" i="65037"/>
  <c r="BN61" i="65037"/>
  <c r="BV61" i="65037"/>
  <c r="BR61" i="65037"/>
  <c r="AU117" i="65037"/>
  <c r="AW117" i="65037" s="1" a="1"/>
  <c r="AW117" i="65037" s="1"/>
  <c r="BX59" i="65037"/>
  <c r="BL59" i="65037"/>
  <c r="BO74" i="65037"/>
  <c r="BO59" i="65037"/>
  <c r="BO73" i="65037"/>
  <c r="BO78" i="65037"/>
  <c r="BO77" i="65037"/>
  <c r="BO76" i="65037"/>
  <c r="BU59" i="65037"/>
  <c r="BN59" i="65037"/>
  <c r="BW59" i="65037"/>
  <c r="BY59" i="65037"/>
  <c r="BQ59" i="65037"/>
  <c r="CA59" i="65037"/>
  <c r="BO72" i="65037"/>
  <c r="BP59" i="65037"/>
  <c r="BM59" i="65037"/>
  <c r="BJ59" i="65037"/>
  <c r="BK59" i="65037"/>
  <c r="CE59" i="65037"/>
  <c r="BT59" i="65037"/>
  <c r="BV59" i="65037"/>
  <c r="CH59" i="65037"/>
  <c r="CD59" i="65037"/>
  <c r="CB59" i="65037"/>
  <c r="CC59" i="65037"/>
  <c r="CF59" i="65037"/>
  <c r="CG59" i="65037"/>
  <c r="BZ59" i="65037"/>
  <c r="BR59" i="65037"/>
  <c r="BS59" i="65037"/>
  <c r="BO75" i="65037"/>
  <c r="AU119" i="65037"/>
  <c r="AW119" i="65037" s="1" a="1"/>
  <c r="AW119" i="65037" s="1"/>
  <c r="BW73" i="65037"/>
  <c r="BK67" i="65037"/>
  <c r="BW77" i="65037"/>
  <c r="BP67" i="65037"/>
  <c r="BW72" i="65037"/>
  <c r="BY67" i="65037"/>
  <c r="CH67" i="65037"/>
  <c r="BW74" i="65037"/>
  <c r="BX67" i="65037"/>
  <c r="BQ67" i="65037"/>
  <c r="BV67" i="65037"/>
  <c r="CG67" i="65037"/>
  <c r="CF67" i="65037"/>
  <c r="BW76" i="65037"/>
  <c r="CB67" i="65037"/>
  <c r="BU67" i="65037"/>
  <c r="BJ67" i="65037"/>
  <c r="CD67" i="65037"/>
  <c r="BR67" i="65037"/>
  <c r="BN67" i="65037"/>
  <c r="CE67" i="65037"/>
  <c r="BW78" i="65037"/>
  <c r="BT67" i="65037"/>
  <c r="BL67" i="65037"/>
  <c r="BO67" i="65037"/>
  <c r="BM67" i="65037"/>
  <c r="CC67" i="65037"/>
  <c r="BZ67" i="65037"/>
  <c r="BW67" i="65037"/>
  <c r="BS67" i="65037"/>
  <c r="CA67" i="65037"/>
  <c r="BW75" i="65037"/>
  <c r="BN77" i="65037"/>
  <c r="CG58" i="65037"/>
  <c r="BY58" i="65037"/>
  <c r="BN58" i="65037"/>
  <c r="BW58" i="65037"/>
  <c r="BK58" i="65037"/>
  <c r="BJ58" i="65037"/>
  <c r="CD58" i="65037"/>
  <c r="BN73" i="65037"/>
  <c r="CH58" i="65037"/>
  <c r="BR58" i="65037"/>
  <c r="BQ58" i="65037"/>
  <c r="BN72" i="65037"/>
  <c r="CE58" i="65037"/>
  <c r="BN78" i="65037"/>
  <c r="CC58" i="65037"/>
  <c r="BN74" i="65037"/>
  <c r="BL58" i="65037"/>
  <c r="CA58" i="65037"/>
  <c r="BM58" i="65037"/>
  <c r="CB58" i="65037"/>
  <c r="BS58" i="65037"/>
  <c r="CF58" i="65037"/>
  <c r="BN76" i="65037"/>
  <c r="BT58" i="65037"/>
  <c r="BZ58" i="65037"/>
  <c r="BX58" i="65037"/>
  <c r="BO58" i="65037"/>
  <c r="BV58" i="65037"/>
  <c r="BU58" i="65037"/>
  <c r="BP58" i="65037"/>
  <c r="BN75" i="65037"/>
  <c r="BU78" i="65037"/>
  <c r="BU77" i="65037"/>
  <c r="BN65" i="65037"/>
  <c r="BU73" i="65037"/>
  <c r="CA65" i="65037"/>
  <c r="BQ65" i="65037"/>
  <c r="BP65" i="65037"/>
  <c r="BU72" i="65037"/>
  <c r="BR65" i="65037"/>
  <c r="BK65" i="65037"/>
  <c r="BX65" i="65037"/>
  <c r="BS65" i="65037"/>
  <c r="BU74" i="65037"/>
  <c r="CF65" i="65037"/>
  <c r="CG65" i="65037"/>
  <c r="BU76" i="65037"/>
  <c r="BV65" i="65037"/>
  <c r="BY65" i="65037"/>
  <c r="BW65" i="65037"/>
  <c r="BT65" i="65037"/>
  <c r="BM65" i="65037"/>
  <c r="CD65" i="65037"/>
  <c r="BL65" i="65037"/>
  <c r="BZ65" i="65037"/>
  <c r="BU65" i="65037"/>
  <c r="CE65" i="65037"/>
  <c r="BJ65" i="65037"/>
  <c r="CH65" i="65037"/>
  <c r="CC65" i="65037"/>
  <c r="CB65" i="65037"/>
  <c r="BO65" i="65037"/>
  <c r="BU75" i="65037"/>
  <c r="BL54" i="65037"/>
  <c r="CA54" i="65037"/>
  <c r="CE54" i="65037"/>
  <c r="BJ54" i="65037"/>
  <c r="BO54" i="65037"/>
  <c r="BQ54" i="65037"/>
  <c r="BS54" i="65037"/>
  <c r="BU54" i="65037"/>
  <c r="BW54" i="65037"/>
  <c r="BY54" i="65037"/>
  <c r="CB54" i="65037"/>
  <c r="CF54" i="65037"/>
  <c r="BM54" i="65037"/>
  <c r="CC54" i="65037"/>
  <c r="CG54" i="65037"/>
  <c r="BK54" i="65037"/>
  <c r="BN54" i="65037"/>
  <c r="BP54" i="65037"/>
  <c r="BR54" i="65037"/>
  <c r="BT54" i="65037"/>
  <c r="BV54" i="65037"/>
  <c r="BX54" i="65037"/>
  <c r="BZ54" i="65037"/>
  <c r="CD54" i="65037"/>
  <c r="CH54" i="65037"/>
  <c r="BJ72" i="65037"/>
  <c r="BJ75" i="65037"/>
  <c r="BJ73" i="65037"/>
  <c r="BJ74" i="65037"/>
  <c r="BJ78" i="65037"/>
  <c r="BJ77" i="65037"/>
  <c r="BJ76" i="65037"/>
  <c r="BV77" i="65037"/>
  <c r="BZ66" i="65037"/>
  <c r="BP66" i="65037"/>
  <c r="BY66" i="65037"/>
  <c r="BV72" i="65037"/>
  <c r="CB66" i="65037"/>
  <c r="BL66" i="65037"/>
  <c r="BT66" i="65037"/>
  <c r="BV75" i="65037"/>
  <c r="BO66" i="65037"/>
  <c r="BK66" i="65037"/>
  <c r="CG66" i="65037"/>
  <c r="BS66" i="65037"/>
  <c r="BQ66" i="65037"/>
  <c r="BV66" i="65037"/>
  <c r="BJ66" i="65037"/>
  <c r="CE66" i="65037"/>
  <c r="BV74" i="65037"/>
  <c r="CA66" i="65037"/>
  <c r="BX66" i="65037"/>
  <c r="CF66" i="65037"/>
  <c r="BW66" i="65037"/>
  <c r="CC66" i="65037"/>
  <c r="BR66" i="65037"/>
  <c r="BV78" i="65037"/>
  <c r="BV73" i="65037"/>
  <c r="CD66" i="65037"/>
  <c r="BN66" i="65037"/>
  <c r="CH66" i="65037"/>
  <c r="BM66" i="65037"/>
  <c r="BV76" i="65037"/>
  <c r="BU66" i="65037"/>
  <c r="AU118" i="65037"/>
  <c r="AW118" i="65037" s="1" a="1"/>
  <c r="AW118" i="65037" s="1"/>
  <c r="BM57" i="65037"/>
  <c r="BQ57" i="65037"/>
  <c r="BU57" i="65037"/>
  <c r="BY57" i="65037"/>
  <c r="CC57" i="65037"/>
  <c r="CG57" i="65037"/>
  <c r="BJ57" i="65037"/>
  <c r="BN57" i="65037"/>
  <c r="BR57" i="65037"/>
  <c r="BV57" i="65037"/>
  <c r="BZ57" i="65037"/>
  <c r="CD57" i="65037"/>
  <c r="CH57" i="65037"/>
  <c r="BK57" i="65037"/>
  <c r="BO57" i="65037"/>
  <c r="BS57" i="65037"/>
  <c r="BW57" i="65037"/>
  <c r="CA57" i="65037"/>
  <c r="CE57" i="65037"/>
  <c r="BL57" i="65037"/>
  <c r="BP57" i="65037"/>
  <c r="BT57" i="65037"/>
  <c r="BX57" i="65037"/>
  <c r="CB57" i="65037"/>
  <c r="CF57" i="65037"/>
  <c r="BM74" i="65037"/>
  <c r="BM78" i="65037"/>
  <c r="BM73" i="65037"/>
  <c r="BM77" i="65037"/>
  <c r="BM75" i="65037"/>
  <c r="BM72" i="65037"/>
  <c r="BM76" i="65037"/>
  <c r="AU120" i="65037"/>
  <c r="AW120" i="65037" s="1" a="1"/>
  <c r="AW120" i="65037" s="1"/>
  <c r="AU122" i="65037"/>
  <c r="AW122" i="65037" s="1" a="1"/>
  <c r="AW122" i="65037" s="1"/>
  <c r="BZ74" i="65037"/>
  <c r="BZ70" i="65037"/>
  <c r="BQ70" i="65037"/>
  <c r="BT70" i="65037"/>
  <c r="BU70" i="65037"/>
  <c r="BZ78" i="65037"/>
  <c r="CA70" i="65037"/>
  <c r="CH70" i="65037"/>
  <c r="BZ77" i="65037"/>
  <c r="BW70" i="65037"/>
  <c r="CB70" i="65037"/>
  <c r="BR70" i="65037"/>
  <c r="BO70" i="65037"/>
  <c r="CD70" i="65037"/>
  <c r="CF70" i="65037"/>
  <c r="CC70" i="65037"/>
  <c r="BZ72" i="65037"/>
  <c r="BN70" i="65037"/>
  <c r="BZ76" i="65037"/>
  <c r="BJ70" i="65037"/>
  <c r="BZ75" i="65037"/>
  <c r="BV70" i="65037"/>
  <c r="BP70" i="65037"/>
  <c r="BK70" i="65037"/>
  <c r="BZ73" i="65037"/>
  <c r="BL70" i="65037"/>
  <c r="CG70" i="65037"/>
  <c r="BX70" i="65037"/>
  <c r="BM70" i="65037"/>
  <c r="CE70" i="65037"/>
  <c r="BY70" i="65037"/>
  <c r="BS70" i="65037"/>
  <c r="BR77" i="65037"/>
  <c r="BK62" i="65037"/>
  <c r="CB62" i="65037"/>
  <c r="BL62" i="65037"/>
  <c r="CH62" i="65037"/>
  <c r="BN62" i="65037"/>
  <c r="BS62" i="65037"/>
  <c r="BR62" i="65037"/>
  <c r="BR75" i="65037"/>
  <c r="BO62" i="65037"/>
  <c r="BZ62" i="65037"/>
  <c r="BQ62" i="65037"/>
  <c r="CE62" i="65037"/>
  <c r="BP62" i="65037"/>
  <c r="CF62" i="65037"/>
  <c r="BM62" i="65037"/>
  <c r="BR74" i="65037"/>
  <c r="CD62" i="65037"/>
  <c r="BU62" i="65037"/>
  <c r="CG62" i="65037"/>
  <c r="BT62" i="65037"/>
  <c r="BW62" i="65037"/>
  <c r="BV62" i="65037"/>
  <c r="BR72" i="65037"/>
  <c r="BR73" i="65037"/>
  <c r="BX62" i="65037"/>
  <c r="BR76" i="65037"/>
  <c r="BJ62" i="65037"/>
  <c r="CA62" i="65037"/>
  <c r="BY62" i="65037"/>
  <c r="BR78" i="65037"/>
  <c r="CC62" i="65037"/>
  <c r="BG71" i="65037"/>
  <c r="BF71" i="65037" s="1"/>
  <c r="BO71" i="65037"/>
  <c r="BU71" i="65037"/>
  <c r="BR71" i="65037"/>
  <c r="BJ71" i="65037"/>
  <c r="BN71" i="65037"/>
  <c r="BT71" i="65037"/>
  <c r="CE71" i="65037"/>
  <c r="BY71" i="65037"/>
  <c r="CA71" i="65037"/>
  <c r="CA77" i="65037"/>
  <c r="CC71" i="65037"/>
  <c r="BM71" i="65037"/>
  <c r="BV71" i="65037"/>
  <c r="CA72" i="65037"/>
  <c r="CF71" i="65037"/>
  <c r="CA75" i="65037"/>
  <c r="BX71" i="65037"/>
  <c r="CA73" i="65037"/>
  <c r="CD71" i="65037"/>
  <c r="BQ71" i="65037"/>
  <c r="CB71" i="65037"/>
  <c r="BP71" i="65037"/>
  <c r="CA76" i="65037"/>
  <c r="BL71" i="65037"/>
  <c r="CH71" i="65037"/>
  <c r="CA74" i="65037"/>
  <c r="BS71" i="65037"/>
  <c r="CG71" i="65037"/>
  <c r="BW71" i="65037"/>
  <c r="BZ71" i="65037"/>
  <c r="BK71" i="65037"/>
  <c r="CA78" i="65037"/>
  <c r="BS77" i="65037"/>
  <c r="CE63" i="65037"/>
  <c r="BU63" i="65037"/>
  <c r="BZ63" i="65037"/>
  <c r="CB63" i="65037"/>
  <c r="BV63" i="65037"/>
  <c r="BQ63" i="65037"/>
  <c r="BS73" i="65037"/>
  <c r="CH63" i="65037"/>
  <c r="CF63" i="65037"/>
  <c r="CD63" i="65037"/>
  <c r="BP63" i="65037"/>
  <c r="BO63" i="65037"/>
  <c r="BX63" i="65037"/>
  <c r="CG63" i="65037"/>
  <c r="BS75" i="65037"/>
  <c r="BS63" i="65037"/>
  <c r="BW63" i="65037"/>
  <c r="CA63" i="65037"/>
  <c r="BM63" i="65037"/>
  <c r="BT63" i="65037"/>
  <c r="BS72" i="65037"/>
  <c r="BY63" i="65037"/>
  <c r="CC63" i="65037"/>
  <c r="BS74" i="65037"/>
  <c r="BK63" i="65037"/>
  <c r="BN63" i="65037"/>
  <c r="BS78" i="65037"/>
  <c r="BR63" i="65037"/>
  <c r="BL63" i="65037"/>
  <c r="BS76" i="65037"/>
  <c r="BJ63" i="65037"/>
  <c r="CH56" i="65037"/>
  <c r="CG56" i="65037"/>
  <c r="BL77" i="65037"/>
  <c r="BL73" i="65037"/>
  <c r="CE56" i="65037"/>
  <c r="BL76" i="65037"/>
  <c r="BL78" i="65037"/>
  <c r="CD56" i="65037"/>
  <c r="CC56" i="65037"/>
  <c r="BL72" i="65037"/>
  <c r="BL74" i="65037"/>
  <c r="BL75" i="65037"/>
  <c r="BL56" i="65037"/>
  <c r="CF56" i="65037"/>
  <c r="CB56" i="65037"/>
  <c r="BN56" i="65037"/>
  <c r="BP56" i="65037"/>
  <c r="BS56" i="65037"/>
  <c r="BO56" i="65037"/>
  <c r="BM56" i="65037"/>
  <c r="BQ56" i="65037"/>
  <c r="BJ56" i="65037"/>
  <c r="BY56" i="65037"/>
  <c r="BT56" i="65037"/>
  <c r="BX56" i="65037"/>
  <c r="BW56" i="65037"/>
  <c r="BU56" i="65037"/>
  <c r="BK56" i="65037"/>
  <c r="BV56" i="65037"/>
  <c r="BR56" i="65037"/>
  <c r="BZ56" i="65037"/>
  <c r="CA56" i="65037"/>
  <c r="CA122" i="65037"/>
  <c r="CA126" i="65037"/>
  <c r="CA130" i="65037"/>
  <c r="BN129" i="65037"/>
  <c r="CA123" i="65037"/>
  <c r="CA127" i="65037"/>
  <c r="CA131" i="65037"/>
  <c r="BN126" i="65037"/>
  <c r="BN130" i="65037"/>
  <c r="CA120" i="65037"/>
  <c r="CA124" i="65037"/>
  <c r="CA128" i="65037"/>
  <c r="CA132" i="65037"/>
  <c r="BN128" i="65037"/>
  <c r="CA121" i="65037"/>
  <c r="CA125" i="65037"/>
  <c r="CA129" i="65037"/>
  <c r="BN127" i="65037"/>
  <c r="BN131" i="65037"/>
  <c r="BN132" i="65037"/>
  <c r="BN125" i="65037"/>
  <c r="BN124" i="65037"/>
  <c r="BN120" i="65037"/>
  <c r="BN138" i="65037"/>
  <c r="BN123" i="65037"/>
  <c r="BN118" i="65037"/>
  <c r="BN135" i="65037"/>
  <c r="BN117" i="65037"/>
  <c r="BN115" i="65037"/>
  <c r="BN137" i="65037"/>
  <c r="BN116" i="65037"/>
  <c r="BN119" i="65037"/>
  <c r="BN122" i="65037"/>
  <c r="BN139" i="65037"/>
  <c r="BN134" i="65037"/>
  <c r="BN136" i="65037"/>
  <c r="BN121" i="65037"/>
  <c r="BN133" i="65037"/>
  <c r="BG70" i="65037" l="1"/>
  <c r="BF70" i="65037" s="1"/>
  <c r="BG69" i="65037"/>
  <c r="BF69" i="65037" s="1"/>
  <c r="BG68" i="65037"/>
  <c r="BF68" i="65037" s="1"/>
  <c r="BG67" i="65037"/>
  <c r="BF67" i="65037" s="1"/>
  <c r="BG60" i="65037"/>
  <c r="BF60" i="65037" s="1"/>
  <c r="BG65" i="65037"/>
  <c r="BF65" i="65037" s="1"/>
  <c r="BG64" i="65037"/>
  <c r="BF64" i="65037" s="1"/>
  <c r="BG63" i="65037"/>
  <c r="BF63" i="65037" s="1"/>
  <c r="BG62" i="65037"/>
  <c r="BF62" i="65037" s="1"/>
  <c r="BG61" i="65037"/>
  <c r="BF61" i="65037" s="1"/>
  <c r="CM118" i="65037"/>
  <c r="CM119" i="65037"/>
  <c r="CS118" i="65037"/>
  <c r="CS119" i="65037"/>
  <c r="BX118" i="65037"/>
  <c r="BX119" i="65037"/>
  <c r="CG118" i="65037"/>
  <c r="CG119" i="65037"/>
  <c r="CJ118" i="65037"/>
  <c r="CJ119" i="65037"/>
  <c r="CP118" i="65037"/>
  <c r="CP119" i="65037"/>
  <c r="CD117" i="65037"/>
  <c r="CD118" i="65037"/>
  <c r="CM116" i="65037"/>
  <c r="CM117" i="65037"/>
  <c r="CG116" i="65037"/>
  <c r="CG117" i="65037"/>
  <c r="CS116" i="65037"/>
  <c r="CS117" i="65037"/>
  <c r="BX116" i="65037"/>
  <c r="BX117" i="65037"/>
  <c r="CJ116" i="65037"/>
  <c r="CJ117" i="65037"/>
  <c r="CP116" i="65037"/>
  <c r="CP117" i="65037"/>
  <c r="CD115" i="65037"/>
  <c r="CD116" i="65037"/>
  <c r="CJ139" i="65037"/>
  <c r="CJ115" i="65037"/>
  <c r="CP139" i="65037"/>
  <c r="CP115" i="65037"/>
  <c r="BP131" i="65037"/>
  <c r="CG115" i="65037"/>
  <c r="BX139" i="65037"/>
  <c r="BX115" i="65037"/>
  <c r="CM139" i="65037"/>
  <c r="CM115" i="65037"/>
  <c r="CS139" i="65037"/>
  <c r="CS115" i="65037"/>
  <c r="BG66" i="65037"/>
  <c r="BF66" i="65037" s="1"/>
  <c r="BG72" i="65037"/>
  <c r="BF72" i="65037" s="1"/>
  <c r="BG59" i="65037"/>
  <c r="BF59" i="65037" s="1"/>
  <c r="BG56" i="65037"/>
  <c r="BF56" i="65037" s="1"/>
  <c r="BG58" i="65037"/>
  <c r="BF58" i="65037" s="1"/>
  <c r="AY124" i="65037"/>
  <c r="BF124" i="65037" s="1"/>
  <c r="AW124" i="65037" a="1"/>
  <c r="AW124" i="65037" s="1"/>
  <c r="CG122" i="65037"/>
  <c r="CG139" i="65037"/>
  <c r="BO127" i="65037"/>
  <c r="CD139" i="65037"/>
  <c r="BO119" i="65037"/>
  <c r="BO133" i="65037"/>
  <c r="BO136" i="65037"/>
  <c r="BO132" i="65037"/>
  <c r="CD127" i="65037"/>
  <c r="CD125" i="65037"/>
  <c r="BO137" i="65037"/>
  <c r="BO128" i="65037"/>
  <c r="BO134" i="65037"/>
  <c r="BO115" i="65037"/>
  <c r="BO123" i="65037"/>
  <c r="BO138" i="65037"/>
  <c r="CD132" i="65037"/>
  <c r="BO129" i="65037"/>
  <c r="BO125" i="65037"/>
  <c r="CD123" i="65037"/>
  <c r="BO116" i="65037"/>
  <c r="BO122" i="65037"/>
  <c r="CD128" i="65037"/>
  <c r="CD130" i="65037"/>
  <c r="CD131" i="65037"/>
  <c r="BO118" i="65037"/>
  <c r="BO121" i="65037"/>
  <c r="CD124" i="65037"/>
  <c r="CD126" i="65037"/>
  <c r="CD129" i="65037"/>
  <c r="BO124" i="65037"/>
  <c r="BO117" i="65037"/>
  <c r="CD120" i="65037"/>
  <c r="BO130" i="65037"/>
  <c r="BO139" i="65037"/>
  <c r="BO120" i="65037"/>
  <c r="BO135" i="65037"/>
  <c r="BO126" i="65037"/>
  <c r="BP136" i="65037"/>
  <c r="CG128" i="65037"/>
  <c r="BP122" i="65037"/>
  <c r="CG124" i="65037"/>
  <c r="BP138" i="65037"/>
  <c r="BP124" i="65037"/>
  <c r="BP132" i="65037"/>
  <c r="BP126" i="65037"/>
  <c r="CG137" i="65037"/>
  <c r="CG138" i="65037"/>
  <c r="CM137" i="65037"/>
  <c r="CM138" i="65037"/>
  <c r="CS124" i="65037"/>
  <c r="CS138" i="65037"/>
  <c r="BX137" i="65037"/>
  <c r="BX138" i="65037"/>
  <c r="CD137" i="65037"/>
  <c r="CD138" i="65037"/>
  <c r="CJ137" i="65037"/>
  <c r="CJ138" i="65037"/>
  <c r="CP137" i="65037"/>
  <c r="CP138" i="65037"/>
  <c r="CG123" i="65037"/>
  <c r="BP137" i="65037"/>
  <c r="BP120" i="65037"/>
  <c r="BP125" i="65037"/>
  <c r="CG126" i="65037"/>
  <c r="CG132" i="65037"/>
  <c r="CG131" i="65037"/>
  <c r="BP127" i="65037"/>
  <c r="CG120" i="65037"/>
  <c r="BP133" i="65037"/>
  <c r="BP134" i="65037"/>
  <c r="BP117" i="65037"/>
  <c r="BP135" i="65037"/>
  <c r="CG127" i="65037"/>
  <c r="CG129" i="65037"/>
  <c r="BP130" i="65037"/>
  <c r="CG125" i="65037"/>
  <c r="BP121" i="65037"/>
  <c r="BP116" i="65037"/>
  <c r="BP129" i="65037"/>
  <c r="CG121" i="65037"/>
  <c r="BP119" i="65037"/>
  <c r="BP139" i="65037"/>
  <c r="BP115" i="65037"/>
  <c r="BP118" i="65037"/>
  <c r="BP123" i="65037"/>
  <c r="CG130" i="65037"/>
  <c r="BP128" i="65037"/>
  <c r="BX126" i="65037"/>
  <c r="BX123" i="65037"/>
  <c r="CD122" i="65037"/>
  <c r="BO131" i="65037"/>
  <c r="CD121" i="65037"/>
  <c r="BM124" i="65037"/>
  <c r="BM128" i="65037"/>
  <c r="BM121" i="65037"/>
  <c r="BM117" i="65037"/>
  <c r="BM139" i="65037"/>
  <c r="BX120" i="65037"/>
  <c r="BM120" i="65037"/>
  <c r="BM127" i="65037"/>
  <c r="CS123" i="65037"/>
  <c r="CP123" i="65037"/>
  <c r="CS125" i="65037"/>
  <c r="BS125" i="65037"/>
  <c r="CP129" i="65037"/>
  <c r="BT123" i="65037"/>
  <c r="BS120" i="65037"/>
  <c r="BT117" i="65037"/>
  <c r="BS128" i="65037"/>
  <c r="BT121" i="65037"/>
  <c r="BT115" i="65037"/>
  <c r="BT129" i="65037"/>
  <c r="CS121" i="65037"/>
  <c r="BS138" i="65037"/>
  <c r="BS124" i="65037"/>
  <c r="CP132" i="65037"/>
  <c r="BS129" i="65037"/>
  <c r="CP125" i="65037"/>
  <c r="BT138" i="65037"/>
  <c r="BT133" i="65037"/>
  <c r="BT132" i="65037"/>
  <c r="CS122" i="65037"/>
  <c r="CS128" i="65037"/>
  <c r="BS137" i="65037"/>
  <c r="BS115" i="65037"/>
  <c r="CP120" i="65037"/>
  <c r="CP122" i="65037"/>
  <c r="BT120" i="65037"/>
  <c r="BT124" i="65037"/>
  <c r="BT126" i="65037"/>
  <c r="BT131" i="65037"/>
  <c r="BS135" i="65037"/>
  <c r="BS119" i="65037"/>
  <c r="BS123" i="65037"/>
  <c r="BS126" i="65037"/>
  <c r="BS130" i="65037"/>
  <c r="CJ131" i="65037"/>
  <c r="BS117" i="65037"/>
  <c r="BS133" i="65037"/>
  <c r="BS122" i="65037"/>
  <c r="BS118" i="65037"/>
  <c r="BS134" i="65037"/>
  <c r="CP128" i="65037"/>
  <c r="CP131" i="65037"/>
  <c r="CP130" i="65037"/>
  <c r="BS131" i="65037"/>
  <c r="CP121" i="65037"/>
  <c r="BS139" i="65037"/>
  <c r="BS136" i="65037"/>
  <c r="BS121" i="65037"/>
  <c r="BS116" i="65037"/>
  <c r="BS132" i="65037"/>
  <c r="CP124" i="65037"/>
  <c r="CP127" i="65037"/>
  <c r="CP126" i="65037"/>
  <c r="BS127" i="65037"/>
  <c r="BQ121" i="65037"/>
  <c r="BQ120" i="65037"/>
  <c r="BQ135" i="65037"/>
  <c r="BQ129" i="65037"/>
  <c r="BQ136" i="65037"/>
  <c r="BQ130" i="65037"/>
  <c r="CJ125" i="65037"/>
  <c r="CJ128" i="65037"/>
  <c r="BM118" i="65037"/>
  <c r="BM119" i="65037"/>
  <c r="BM136" i="65037"/>
  <c r="BM138" i="65037"/>
  <c r="BM132" i="65037"/>
  <c r="BX122" i="65037"/>
  <c r="BX129" i="65037"/>
  <c r="BX132" i="65037"/>
  <c r="BM126" i="65037"/>
  <c r="BQ138" i="65037"/>
  <c r="BQ137" i="65037"/>
  <c r="BQ116" i="65037"/>
  <c r="BQ115" i="65037"/>
  <c r="BQ123" i="65037"/>
  <c r="CJ130" i="65037"/>
  <c r="BQ131" i="65037"/>
  <c r="CJ121" i="65037"/>
  <c r="CJ124" i="65037"/>
  <c r="CJ127" i="65037"/>
  <c r="BM125" i="65037"/>
  <c r="BM115" i="65037"/>
  <c r="BM122" i="65037"/>
  <c r="BM133" i="65037"/>
  <c r="BM129" i="65037"/>
  <c r="BM130" i="65037"/>
  <c r="BX125" i="65037"/>
  <c r="BX128" i="65037"/>
  <c r="BX131" i="65037"/>
  <c r="BQ118" i="65037"/>
  <c r="BQ124" i="65037"/>
  <c r="BQ134" i="65037"/>
  <c r="BQ139" i="65037"/>
  <c r="BQ119" i="65037"/>
  <c r="CJ126" i="65037"/>
  <c r="BQ127" i="65037"/>
  <c r="BQ128" i="65037"/>
  <c r="CJ120" i="65037"/>
  <c r="CJ123" i="65037"/>
  <c r="BM137" i="65037"/>
  <c r="BM123" i="65037"/>
  <c r="BM116" i="65037"/>
  <c r="BM135" i="65037"/>
  <c r="BM134" i="65037"/>
  <c r="BX130" i="65037"/>
  <c r="BM131" i="65037"/>
  <c r="BX121" i="65037"/>
  <c r="BX124" i="65037"/>
  <c r="BX127" i="65037"/>
  <c r="BQ125" i="65037"/>
  <c r="BQ133" i="65037"/>
  <c r="BQ117" i="65037"/>
  <c r="BQ122" i="65037"/>
  <c r="BQ132" i="65037"/>
  <c r="CJ122" i="65037"/>
  <c r="CJ129" i="65037"/>
  <c r="CJ132" i="65037"/>
  <c r="BQ126" i="65037"/>
  <c r="CS136" i="65037"/>
  <c r="CS137" i="65037"/>
  <c r="CM135" i="65037"/>
  <c r="CM136" i="65037"/>
  <c r="BX135" i="65037"/>
  <c r="BX136" i="65037"/>
  <c r="CJ135" i="65037"/>
  <c r="CJ136" i="65037"/>
  <c r="CG135" i="65037"/>
  <c r="CG136" i="65037"/>
  <c r="CD135" i="65037"/>
  <c r="CD136" i="65037"/>
  <c r="CP135" i="65037"/>
  <c r="CP136" i="65037"/>
  <c r="CS134" i="65037"/>
  <c r="CS135" i="65037"/>
  <c r="BX133" i="65037"/>
  <c r="BX134" i="65037"/>
  <c r="CJ133" i="65037"/>
  <c r="CJ134" i="65037"/>
  <c r="CG133" i="65037"/>
  <c r="CG134" i="65037"/>
  <c r="CD133" i="65037"/>
  <c r="CD134" i="65037"/>
  <c r="CP133" i="65037"/>
  <c r="CP134" i="65037"/>
  <c r="CM128" i="65037"/>
  <c r="CM134" i="65037"/>
  <c r="CM130" i="65037"/>
  <c r="CM133" i="65037"/>
  <c r="BT130" i="65037"/>
  <c r="CS133" i="65037"/>
  <c r="BR118" i="65037"/>
  <c r="BR115" i="65037"/>
  <c r="BT116" i="65037"/>
  <c r="BT139" i="65037"/>
  <c r="BT136" i="65037"/>
  <c r="BT134" i="65037"/>
  <c r="BT135" i="65037"/>
  <c r="CS131" i="65037"/>
  <c r="CS130" i="65037"/>
  <c r="BT127" i="65037"/>
  <c r="BT128" i="65037"/>
  <c r="CS120" i="65037"/>
  <c r="BR129" i="65037"/>
  <c r="BR127" i="65037"/>
  <c r="BT137" i="65037"/>
  <c r="BT125" i="65037"/>
  <c r="BT118" i="65037"/>
  <c r="BT119" i="65037"/>
  <c r="BT122" i="65037"/>
  <c r="CS127" i="65037"/>
  <c r="CS126" i="65037"/>
  <c r="CS129" i="65037"/>
  <c r="CS132" i="65037"/>
  <c r="BR137" i="65037"/>
  <c r="BR124" i="65037"/>
  <c r="CM125" i="65037"/>
  <c r="CM120" i="65037"/>
  <c r="CM126" i="65037"/>
  <c r="BR122" i="65037"/>
  <c r="BR119" i="65037"/>
  <c r="BR134" i="65037"/>
  <c r="BR128" i="65037"/>
  <c r="BR126" i="65037"/>
  <c r="BR136" i="65037"/>
  <c r="BR133" i="65037"/>
  <c r="BR116" i="65037"/>
  <c r="CM132" i="65037"/>
  <c r="CM127" i="65037"/>
  <c r="BR125" i="65037"/>
  <c r="BR121" i="65037"/>
  <c r="BR123" i="65037"/>
  <c r="BR138" i="65037"/>
  <c r="BR132" i="65037"/>
  <c r="CM129" i="65037"/>
  <c r="BR130" i="65037"/>
  <c r="CM123" i="65037"/>
  <c r="CM122" i="65037"/>
  <c r="BR117" i="65037"/>
  <c r="BR120" i="65037"/>
  <c r="BR139" i="65037"/>
  <c r="BR135" i="65037"/>
  <c r="BR131" i="65037"/>
  <c r="CM121" i="65037"/>
  <c r="CM124" i="65037"/>
  <c r="CM131" i="65037"/>
  <c r="AV124" i="65037" a="1"/>
  <c r="AV124" i="65037" s="1"/>
  <c r="BG57" i="65037"/>
  <c r="BF57" i="65037" s="1"/>
  <c r="BG55" i="65037"/>
  <c r="BF55" i="65037" s="1"/>
  <c r="BG54" i="65037"/>
  <c r="BF54" i="65037" s="1"/>
  <c r="CA140" i="65037"/>
  <c r="CD140" i="65037" l="1"/>
  <c r="CD141" i="65037" s="1"/>
  <c r="CE141" i="65037" s="1"/>
  <c r="CF126" i="65037" s="1"/>
  <c r="CG140" i="65037"/>
  <c r="CH115" i="65037" s="1"/>
  <c r="BX140" i="65037"/>
  <c r="BY118" i="65037" s="1"/>
  <c r="CJ140" i="65037"/>
  <c r="CK117" i="65037" s="1"/>
  <c r="CP140" i="65037"/>
  <c r="CP141" i="65037" s="1"/>
  <c r="CQ141" i="65037" s="1"/>
  <c r="CS140" i="65037"/>
  <c r="CT118" i="65037" s="1"/>
  <c r="CM140" i="65037"/>
  <c r="CN126" i="65037" s="1"/>
  <c r="CA141" i="65037"/>
  <c r="CB141" i="65037" s="1"/>
  <c r="CB115" i="65037"/>
  <c r="CB119" i="65037"/>
  <c r="CB123" i="65037"/>
  <c r="CB127" i="65037"/>
  <c r="CB131" i="65037"/>
  <c r="CB135" i="65037"/>
  <c r="CB139" i="65037"/>
  <c r="CB116" i="65037"/>
  <c r="CB120" i="65037"/>
  <c r="CB124" i="65037"/>
  <c r="CB128" i="65037"/>
  <c r="CB132" i="65037"/>
  <c r="CB136" i="65037"/>
  <c r="CB121" i="65037"/>
  <c r="CB129" i="65037"/>
  <c r="CB137" i="65037"/>
  <c r="CB122" i="65037"/>
  <c r="CB130" i="65037"/>
  <c r="CB138" i="65037"/>
  <c r="CB117" i="65037"/>
  <c r="CB125" i="65037"/>
  <c r="CB133" i="65037"/>
  <c r="CB118" i="65037"/>
  <c r="CB126" i="65037"/>
  <c r="CB134" i="65037"/>
  <c r="EF177" i="65037" l="1"/>
  <c r="EF175" i="65037"/>
  <c r="EF180" i="65037"/>
  <c r="EF179" i="65037"/>
  <c r="EF176" i="65037"/>
  <c r="EF173" i="65037"/>
  <c r="B28" i="65037"/>
  <c r="DR57" i="65037" s="1"/>
  <c r="EF178" i="65037"/>
  <c r="EF174" i="65037"/>
  <c r="B29" i="65037"/>
  <c r="CH138" i="65037"/>
  <c r="CH139" i="65037"/>
  <c r="CH128" i="65037"/>
  <c r="CE129" i="65037"/>
  <c r="CH131" i="65037"/>
  <c r="CH135" i="65037"/>
  <c r="BY117" i="65037"/>
  <c r="CH118" i="65037"/>
  <c r="CH137" i="65037"/>
  <c r="CH117" i="65037"/>
  <c r="CH119" i="65037"/>
  <c r="CH127" i="65037"/>
  <c r="CH130" i="65037"/>
  <c r="CH124" i="65037"/>
  <c r="CH133" i="65037"/>
  <c r="CH136" i="65037"/>
  <c r="CH132" i="65037"/>
  <c r="CH122" i="65037"/>
  <c r="CH120" i="65037"/>
  <c r="CG141" i="65037"/>
  <c r="CH141" i="65037" s="1"/>
  <c r="CI131" i="65037" s="1"/>
  <c r="CH126" i="65037"/>
  <c r="BY115" i="65037"/>
  <c r="CQ127" i="65037"/>
  <c r="CQ130" i="65037"/>
  <c r="CF115" i="65037"/>
  <c r="CE139" i="65037"/>
  <c r="CQ131" i="65037"/>
  <c r="CF137" i="65037"/>
  <c r="BY121" i="65037"/>
  <c r="CE128" i="65037"/>
  <c r="CF125" i="65037"/>
  <c r="CF129" i="65037"/>
  <c r="CQ132" i="65037"/>
  <c r="CF123" i="65037"/>
  <c r="BY135" i="65037"/>
  <c r="CE135" i="65037"/>
  <c r="CQ133" i="65037"/>
  <c r="CQ126" i="65037"/>
  <c r="CF139" i="65037"/>
  <c r="CF128" i="65037"/>
  <c r="BY129" i="65037"/>
  <c r="BY139" i="65037"/>
  <c r="BX141" i="65037"/>
  <c r="BY141" i="65037" s="1"/>
  <c r="BZ130" i="65037" s="1"/>
  <c r="CE131" i="65037"/>
  <c r="CQ137" i="65037"/>
  <c r="CQ123" i="65037"/>
  <c r="CQ124" i="65037"/>
  <c r="CF117" i="65037"/>
  <c r="CF138" i="65037"/>
  <c r="BY133" i="65037"/>
  <c r="BY119" i="65037"/>
  <c r="CE116" i="65037"/>
  <c r="CE136" i="65037"/>
  <c r="CQ121" i="65037"/>
  <c r="CN131" i="65037"/>
  <c r="BY128" i="65037"/>
  <c r="BY132" i="65037"/>
  <c r="BY131" i="65037"/>
  <c r="BY130" i="65037"/>
  <c r="CQ125" i="65037"/>
  <c r="CQ115" i="65037"/>
  <c r="CQ118" i="65037"/>
  <c r="CQ120" i="65037"/>
  <c r="CQ135" i="65037"/>
  <c r="CQ117" i="65037"/>
  <c r="CQ134" i="65037"/>
  <c r="CQ136" i="65037"/>
  <c r="CQ116" i="65037"/>
  <c r="CN128" i="65037"/>
  <c r="BY137" i="65037"/>
  <c r="BY120" i="65037"/>
  <c r="BY124" i="65037"/>
  <c r="BY123" i="65037"/>
  <c r="BY126" i="65037"/>
  <c r="CT119" i="65037"/>
  <c r="CT130" i="65037"/>
  <c r="CN122" i="65037"/>
  <c r="CF119" i="65037"/>
  <c r="CF136" i="65037"/>
  <c r="CF131" i="65037"/>
  <c r="CE123" i="65037"/>
  <c r="CE134" i="65037"/>
  <c r="CH134" i="65037"/>
  <c r="CH123" i="65037"/>
  <c r="CH129" i="65037"/>
  <c r="CE137" i="65037"/>
  <c r="CH125" i="65037"/>
  <c r="CH121" i="65037"/>
  <c r="CH116" i="65037"/>
  <c r="CF118" i="65037"/>
  <c r="CF124" i="65037"/>
  <c r="CF116" i="65037"/>
  <c r="CF120" i="65037"/>
  <c r="CF134" i="65037"/>
  <c r="CF130" i="65037"/>
  <c r="CF127" i="65037"/>
  <c r="CE138" i="65037"/>
  <c r="CE132" i="65037"/>
  <c r="CE133" i="65037"/>
  <c r="CE117" i="65037"/>
  <c r="CE120" i="65037"/>
  <c r="CF122" i="65037"/>
  <c r="CF132" i="65037"/>
  <c r="CF121" i="65037"/>
  <c r="CF133" i="65037"/>
  <c r="CF135" i="65037"/>
  <c r="CE121" i="65037"/>
  <c r="CE126" i="65037"/>
  <c r="CE118" i="65037"/>
  <c r="CQ129" i="65037"/>
  <c r="CQ119" i="65037"/>
  <c r="CQ139" i="65037"/>
  <c r="CQ138" i="65037"/>
  <c r="CQ122" i="65037"/>
  <c r="CQ128" i="65037"/>
  <c r="CS141" i="65037"/>
  <c r="CT141" i="65037" s="1"/>
  <c r="CU130" i="65037" s="1"/>
  <c r="BY136" i="65037"/>
  <c r="BY125" i="65037"/>
  <c r="BY116" i="65037"/>
  <c r="BY127" i="65037"/>
  <c r="BY138" i="65037"/>
  <c r="BY122" i="65037"/>
  <c r="CE122" i="65037"/>
  <c r="CE125" i="65037"/>
  <c r="CE119" i="65037"/>
  <c r="CE124" i="65037"/>
  <c r="CE115" i="65037"/>
  <c r="CE127" i="65037"/>
  <c r="CE130" i="65037"/>
  <c r="CT129" i="65037"/>
  <c r="BY134" i="65037"/>
  <c r="CJ141" i="65037"/>
  <c r="CK141" i="65037" s="1"/>
  <c r="CL128" i="65037" s="1"/>
  <c r="CK139" i="65037"/>
  <c r="CK118" i="65037"/>
  <c r="CK120" i="65037"/>
  <c r="CK122" i="65037"/>
  <c r="CK135" i="65037"/>
  <c r="CK129" i="65037"/>
  <c r="CK136" i="65037"/>
  <c r="CK130" i="65037"/>
  <c r="CK134" i="65037"/>
  <c r="CK138" i="65037"/>
  <c r="CK116" i="65037"/>
  <c r="CK125" i="65037"/>
  <c r="CK115" i="65037"/>
  <c r="CK124" i="65037"/>
  <c r="CK128" i="65037"/>
  <c r="CK132" i="65037"/>
  <c r="CK137" i="65037"/>
  <c r="CK121" i="65037"/>
  <c r="CK126" i="65037"/>
  <c r="CK131" i="65037"/>
  <c r="CK119" i="65037"/>
  <c r="CK123" i="65037"/>
  <c r="CK127" i="65037"/>
  <c r="CK133" i="65037"/>
  <c r="CN127" i="65037"/>
  <c r="CN115" i="65037"/>
  <c r="CN120" i="65037"/>
  <c r="CN133" i="65037"/>
  <c r="CN129" i="65037"/>
  <c r="CN138" i="65037"/>
  <c r="CN117" i="65037"/>
  <c r="CN136" i="65037"/>
  <c r="CN130" i="65037"/>
  <c r="CT136" i="65037"/>
  <c r="CT131" i="65037"/>
  <c r="CT120" i="65037"/>
  <c r="CT123" i="65037"/>
  <c r="CT121" i="65037"/>
  <c r="CT133" i="65037"/>
  <c r="CT132" i="65037"/>
  <c r="CT116" i="65037"/>
  <c r="CT126" i="65037"/>
  <c r="CT115" i="65037"/>
  <c r="CT135" i="65037"/>
  <c r="CT125" i="65037"/>
  <c r="CT128" i="65037"/>
  <c r="CT138" i="65037"/>
  <c r="CT122" i="65037"/>
  <c r="CT139" i="65037"/>
  <c r="CT137" i="65037"/>
  <c r="CT127" i="65037"/>
  <c r="CT117" i="65037"/>
  <c r="CT124" i="65037"/>
  <c r="CT134" i="65037"/>
  <c r="CN135" i="65037"/>
  <c r="CN125" i="65037"/>
  <c r="CN123" i="65037"/>
  <c r="CN121" i="65037"/>
  <c r="CN124" i="65037"/>
  <c r="CN134" i="65037"/>
  <c r="CN118" i="65037"/>
  <c r="CN119" i="65037"/>
  <c r="CN139" i="65037"/>
  <c r="CN137" i="65037"/>
  <c r="CN132" i="65037"/>
  <c r="CN116" i="65037"/>
  <c r="CB140" i="65037"/>
  <c r="CR127" i="65037"/>
  <c r="CR131" i="65037"/>
  <c r="CR129" i="65037"/>
  <c r="CR126" i="65037"/>
  <c r="CR130" i="65037"/>
  <c r="CR128" i="65037"/>
  <c r="CR137" i="65037"/>
  <c r="CR135" i="65037"/>
  <c r="CR134" i="65037"/>
  <c r="CR136" i="65037"/>
  <c r="CR138" i="65037"/>
  <c r="CR133" i="65037"/>
  <c r="CR120" i="65037"/>
  <c r="CR115" i="65037"/>
  <c r="CR139" i="65037"/>
  <c r="CR117" i="65037"/>
  <c r="CR125" i="65037"/>
  <c r="CR122" i="65037"/>
  <c r="CR118" i="65037"/>
  <c r="CR121" i="65037"/>
  <c r="CR116" i="65037"/>
  <c r="CR119" i="65037"/>
  <c r="CR123" i="65037"/>
  <c r="CR132" i="65037"/>
  <c r="CR124" i="65037"/>
  <c r="CC129" i="65037"/>
  <c r="CC126" i="65037"/>
  <c r="CC130" i="65037"/>
  <c r="CC128" i="65037"/>
  <c r="CC127" i="65037"/>
  <c r="CC131" i="65037"/>
  <c r="CC136" i="65037"/>
  <c r="CC138" i="65037"/>
  <c r="CC133" i="65037"/>
  <c r="CC120" i="65037"/>
  <c r="CC115" i="65037"/>
  <c r="CC139" i="65037"/>
  <c r="CC117" i="65037"/>
  <c r="CC121" i="65037"/>
  <c r="CC125" i="65037"/>
  <c r="CC116" i="65037"/>
  <c r="CC119" i="65037"/>
  <c r="CC123" i="65037"/>
  <c r="CC132" i="65037"/>
  <c r="CC124" i="65037"/>
  <c r="CC122" i="65037"/>
  <c r="CC118" i="65037"/>
  <c r="CC137" i="65037"/>
  <c r="CC135" i="65037"/>
  <c r="CC134" i="65037"/>
  <c r="DR58" i="65037" l="1"/>
  <c r="A28" i="65037"/>
  <c r="A29" i="65037"/>
  <c r="DF57" i="65037"/>
  <c r="DF58" i="65037"/>
  <c r="FB60" i="65037"/>
  <c r="FC60" i="65037" s="1" a="1"/>
  <c r="FC60" i="65037" s="1"/>
  <c r="FB59" i="65037"/>
  <c r="FC59" i="65037" s="1" a="1"/>
  <c r="FC59" i="65037" s="1"/>
  <c r="FB61" i="65037"/>
  <c r="FC61" i="65037" s="1" a="1"/>
  <c r="FC61" i="65037" s="1"/>
  <c r="FB63" i="65037"/>
  <c r="FC63" i="65037" s="1" a="1"/>
  <c r="FC63" i="65037" s="1"/>
  <c r="FB62" i="65037"/>
  <c r="FC62" i="65037" s="1" a="1"/>
  <c r="FC62" i="65037" s="1"/>
  <c r="FB64" i="65037"/>
  <c r="FC64" i="65037" s="1" a="1"/>
  <c r="FC64" i="65037" s="1"/>
  <c r="CI128" i="65037"/>
  <c r="CI130" i="65037"/>
  <c r="CI124" i="65037"/>
  <c r="CI137" i="65037"/>
  <c r="CI120" i="65037"/>
  <c r="CI136" i="65037"/>
  <c r="CI116" i="65037"/>
  <c r="CI132" i="65037"/>
  <c r="CI126" i="65037"/>
  <c r="CI138" i="65037"/>
  <c r="BZ126" i="65037"/>
  <c r="CI125" i="65037"/>
  <c r="AZ29" i="65037"/>
  <c r="X77" i="65052"/>
  <c r="AG77" i="65052" s="1"/>
  <c r="BA29" i="65037"/>
  <c r="AV117" i="65037" a="1"/>
  <c r="AV117" i="65037" s="1"/>
  <c r="AZ33" i="65037"/>
  <c r="X81" i="65052"/>
  <c r="BA33" i="65037"/>
  <c r="AV121" i="65037" a="1"/>
  <c r="AV121" i="65037" s="1"/>
  <c r="EA179" i="65037"/>
  <c r="DY179" i="65037"/>
  <c r="DX179" i="65037" s="1"/>
  <c r="DY180" i="65037"/>
  <c r="DX180" i="65037" s="1"/>
  <c r="EA180" i="65037"/>
  <c r="DY174" i="65037"/>
  <c r="DX174" i="65037" s="1"/>
  <c r="EA174" i="65037"/>
  <c r="BA31" i="65037"/>
  <c r="X79" i="65052"/>
  <c r="AZ31" i="65037"/>
  <c r="AV119" i="65037" a="1"/>
  <c r="AV119" i="65037" s="1"/>
  <c r="AZ34" i="65037"/>
  <c r="BA34" i="65037"/>
  <c r="X82" i="65052"/>
  <c r="AV122" i="65037" a="1"/>
  <c r="AV122" i="65037" s="1"/>
  <c r="BA32" i="65037"/>
  <c r="X80" i="65052"/>
  <c r="AZ32" i="65037"/>
  <c r="AV120" i="65037" a="1"/>
  <c r="AV120" i="65037" s="1"/>
  <c r="BA28" i="65037"/>
  <c r="X76" i="65052"/>
  <c r="AG76" i="65052" s="1"/>
  <c r="EA176" i="65037"/>
  <c r="DY176" i="65037"/>
  <c r="DX176" i="65037" s="1"/>
  <c r="DY175" i="65037"/>
  <c r="DX175" i="65037" s="1"/>
  <c r="EA175" i="65037"/>
  <c r="EA177" i="65037"/>
  <c r="DY177" i="65037"/>
  <c r="DX177" i="65037" s="1"/>
  <c r="EA178" i="65037"/>
  <c r="DY178" i="65037"/>
  <c r="DX178" i="65037" s="1"/>
  <c r="DY173" i="65037"/>
  <c r="DX173" i="65037" s="1"/>
  <c r="EA173" i="65037"/>
  <c r="AZ35" i="65037"/>
  <c r="X83" i="65052"/>
  <c r="BA35" i="65037"/>
  <c r="AV123" i="65037" a="1"/>
  <c r="AV123" i="65037" s="1"/>
  <c r="X78" i="65052"/>
  <c r="AG78" i="65052" s="1"/>
  <c r="AZ30" i="65037"/>
  <c r="BA30" i="65037"/>
  <c r="AV118" i="65037" a="1"/>
  <c r="AV118" i="65037" s="1"/>
  <c r="BZ139" i="65037"/>
  <c r="CI133" i="65037"/>
  <c r="CI135" i="65037"/>
  <c r="CI121" i="65037"/>
  <c r="CI134" i="65037"/>
  <c r="CI122" i="65037"/>
  <c r="CI118" i="65037"/>
  <c r="CI123" i="65037"/>
  <c r="CI117" i="65037"/>
  <c r="CI129" i="65037"/>
  <c r="CI119" i="65037"/>
  <c r="CI127" i="65037"/>
  <c r="CI115" i="65037"/>
  <c r="CI139" i="65037"/>
  <c r="CU131" i="65037"/>
  <c r="BZ123" i="65037"/>
  <c r="BZ136" i="65037"/>
  <c r="BZ125" i="65037"/>
  <c r="BZ134" i="65037"/>
  <c r="BZ131" i="65037"/>
  <c r="BZ120" i="65037"/>
  <c r="BZ135" i="65037"/>
  <c r="BZ124" i="65037"/>
  <c r="BZ122" i="65037"/>
  <c r="BZ121" i="65037"/>
  <c r="BZ127" i="65037"/>
  <c r="BZ133" i="65037"/>
  <c r="BZ137" i="65037"/>
  <c r="BZ118" i="65037"/>
  <c r="BZ119" i="65037"/>
  <c r="BZ117" i="65037"/>
  <c r="BZ128" i="65037"/>
  <c r="BZ138" i="65037"/>
  <c r="BZ115" i="65037"/>
  <c r="BZ132" i="65037"/>
  <c r="BZ116" i="65037"/>
  <c r="BZ129" i="65037"/>
  <c r="CL129" i="65037"/>
  <c r="CL130" i="65037"/>
  <c r="CU115" i="65037"/>
  <c r="CL120" i="65037"/>
  <c r="CL135" i="65037"/>
  <c r="CU133" i="65037"/>
  <c r="CL132" i="65037"/>
  <c r="CU137" i="65037"/>
  <c r="CL116" i="65037"/>
  <c r="CU116" i="65037"/>
  <c r="CU123" i="65037"/>
  <c r="BY140" i="65037"/>
  <c r="CH140" i="65037"/>
  <c r="CL115" i="65037"/>
  <c r="CL133" i="65037"/>
  <c r="CL137" i="65037"/>
  <c r="CL123" i="65037"/>
  <c r="CL125" i="65037"/>
  <c r="CL131" i="65037"/>
  <c r="CL126" i="65037"/>
  <c r="CU121" i="65037"/>
  <c r="CU138" i="65037"/>
  <c r="CU136" i="65037"/>
  <c r="CU124" i="65037"/>
  <c r="CU122" i="65037"/>
  <c r="CU127" i="65037"/>
  <c r="CL136" i="65037"/>
  <c r="CL138" i="65037"/>
  <c r="CL124" i="65037"/>
  <c r="CL122" i="65037"/>
  <c r="CL121" i="65037"/>
  <c r="CL127" i="65037"/>
  <c r="CU139" i="65037"/>
  <c r="CU125" i="65037"/>
  <c r="CU134" i="65037"/>
  <c r="CU118" i="65037"/>
  <c r="CU126" i="65037"/>
  <c r="CU128" i="65037"/>
  <c r="CL139" i="65037"/>
  <c r="CL134" i="65037"/>
  <c r="CL118" i="65037"/>
  <c r="CL119" i="65037"/>
  <c r="CL117" i="65037"/>
  <c r="CU119" i="65037"/>
  <c r="CU120" i="65037"/>
  <c r="CU117" i="65037"/>
  <c r="CU135" i="65037"/>
  <c r="CU132" i="65037"/>
  <c r="CU129" i="65037"/>
  <c r="CQ140" i="65037"/>
  <c r="CE140" i="65037"/>
  <c r="CK140" i="65037"/>
  <c r="CT140" i="65037"/>
  <c r="CN140" i="65037"/>
  <c r="CM141" i="65037" s="1"/>
  <c r="CN141" i="65037" s="1"/>
  <c r="CO128" i="65037" s="1"/>
  <c r="FB58" i="65037" l="1"/>
  <c r="FC58" i="65037" s="1" a="1"/>
  <c r="FC58" i="65037" s="1"/>
  <c r="FB57" i="65037"/>
  <c r="FC57" i="65037" s="1" a="1"/>
  <c r="FC57" i="65037" s="1"/>
  <c r="CO137" i="65037"/>
  <c r="BU137" i="65037" s="1"/>
  <c r="BL137" i="65037" s="1"/>
  <c r="CO117" i="65037"/>
  <c r="BU117" i="65037" s="1"/>
  <c r="BL117" i="65037" s="1"/>
  <c r="BK117" i="65037" s="1"/>
  <c r="CO125" i="65037"/>
  <c r="BU125" i="65037" s="1"/>
  <c r="BL125" i="65037" s="1"/>
  <c r="BK125" i="65037" s="1"/>
  <c r="CO132" i="65037"/>
  <c r="BU132" i="65037" s="1"/>
  <c r="BL132" i="65037" s="1"/>
  <c r="BK132" i="65037" s="1"/>
  <c r="CO119" i="65037"/>
  <c r="BU119" i="65037" s="1"/>
  <c r="BL119" i="65037" s="1"/>
  <c r="BK119" i="65037" s="1"/>
  <c r="CO118" i="65037"/>
  <c r="BU118" i="65037" s="1"/>
  <c r="BL118" i="65037" s="1"/>
  <c r="BK118" i="65037" s="1"/>
  <c r="CO126" i="65037"/>
  <c r="BU126" i="65037" s="1"/>
  <c r="BL126" i="65037" s="1"/>
  <c r="BK126" i="65037" s="1"/>
  <c r="CO135" i="65037"/>
  <c r="BU135" i="65037" s="1"/>
  <c r="BL135" i="65037" s="1"/>
  <c r="CO130" i="65037"/>
  <c r="BU130" i="65037" s="1"/>
  <c r="BL130" i="65037" s="1"/>
  <c r="BK130" i="65037" s="1"/>
  <c r="CO120" i="65037"/>
  <c r="BU120" i="65037" s="1"/>
  <c r="BL120" i="65037" s="1"/>
  <c r="BK120" i="65037" s="1"/>
  <c r="CO124" i="65037"/>
  <c r="BU124" i="65037" s="1"/>
  <c r="BL124" i="65037" s="1"/>
  <c r="BK124" i="65037" s="1"/>
  <c r="CO122" i="65037"/>
  <c r="BU122" i="65037" s="1"/>
  <c r="BL122" i="65037" s="1"/>
  <c r="BK122" i="65037" s="1"/>
  <c r="CO131" i="65037"/>
  <c r="BU131" i="65037" s="1"/>
  <c r="BL131" i="65037" s="1"/>
  <c r="BK131" i="65037" s="1"/>
  <c r="CO136" i="65037"/>
  <c r="BU136" i="65037" s="1"/>
  <c r="BL136" i="65037" s="1"/>
  <c r="CO138" i="65037"/>
  <c r="BU138" i="65037" s="1"/>
  <c r="BL138" i="65037" s="1"/>
  <c r="CO129" i="65037"/>
  <c r="BU129" i="65037" s="1"/>
  <c r="BL129" i="65037" s="1"/>
  <c r="BK129" i="65037" s="1"/>
  <c r="CO121" i="65037"/>
  <c r="BU121" i="65037" s="1"/>
  <c r="BL121" i="65037" s="1"/>
  <c r="BK121" i="65037" s="1"/>
  <c r="CO123" i="65037"/>
  <c r="BU123" i="65037" s="1"/>
  <c r="BL123" i="65037" s="1"/>
  <c r="BK123" i="65037" s="1"/>
  <c r="CO139" i="65037"/>
  <c r="BU139" i="65037" s="1"/>
  <c r="BL139" i="65037" s="1"/>
  <c r="CO127" i="65037"/>
  <c r="BU127" i="65037" s="1"/>
  <c r="BL127" i="65037" s="1"/>
  <c r="BK127" i="65037" s="1"/>
  <c r="CO134" i="65037"/>
  <c r="BU134" i="65037" s="1"/>
  <c r="BL134" i="65037" s="1"/>
  <c r="CO115" i="65037"/>
  <c r="BU115" i="65037" s="1"/>
  <c r="BL115" i="65037" s="1"/>
  <c r="BK115" i="65037" s="1"/>
  <c r="CO116" i="65037"/>
  <c r="BU116" i="65037" s="1"/>
  <c r="BL116" i="65037" s="1"/>
  <c r="BK116" i="65037" s="1"/>
  <c r="CO133" i="65037"/>
  <c r="BU133" i="65037" s="1"/>
  <c r="BL133" i="65037" s="1"/>
  <c r="BU128" i="65037"/>
  <c r="BL128" i="65037" s="1"/>
  <c r="BK128" i="65037" s="1"/>
  <c r="CA28" i="65037" l="1"/>
  <c r="AV58" i="65037" l="1"/>
  <c r="BU27" i="65037" l="1"/>
  <c r="AT71" i="65037" l="1"/>
  <c r="AX119" i="65037" l="1" a="1"/>
  <c r="AX119" i="65037" s="1"/>
  <c r="AY119" i="65037" s="1"/>
  <c r="AX120" i="65037" l="1" a="1"/>
  <c r="AX120" i="65037" s="1"/>
  <c r="AY120" i="65037" s="1"/>
  <c r="AX121" i="65037" l="1" a="1"/>
  <c r="AX121" i="65037" s="1"/>
  <c r="AY121" i="65037" s="1"/>
  <c r="AX122" i="65037" l="1" a="1"/>
  <c r="AX122" i="65037" s="1"/>
  <c r="AY122" i="65037" s="1"/>
  <c r="BF119" i="65037" l="1"/>
  <c r="BF120" i="65037"/>
  <c r="BF121" i="65037"/>
  <c r="BF122" i="65037"/>
  <c r="AU65" i="65037" l="1"/>
  <c r="EF186" i="65037" l="1"/>
  <c r="EA186" i="65037" s="1"/>
  <c r="EF187" i="65037"/>
  <c r="EA187" i="65037" s="1"/>
  <c r="EF185" i="65037"/>
  <c r="EF184" i="65037"/>
  <c r="AZ41" i="65037"/>
  <c r="X89" i="65052"/>
  <c r="AG89" i="65052" s="1"/>
  <c r="BA41" i="65037"/>
  <c r="EF192" i="65037"/>
  <c r="EF193" i="65037"/>
  <c r="EF190" i="65037"/>
  <c r="EF189" i="65037"/>
  <c r="EF194" i="65037"/>
  <c r="EF188" i="65037"/>
  <c r="EF191" i="65037"/>
  <c r="X88" i="65052"/>
  <c r="AG88" i="65052" s="1"/>
  <c r="AZ40" i="65037"/>
  <c r="DY184" i="65037" l="1"/>
  <c r="DX184" i="65037" s="1"/>
  <c r="BA42" i="65037"/>
  <c r="BA40" i="65037"/>
  <c r="FB72" i="65037"/>
  <c r="FC72" i="65037" s="1" a="1"/>
  <c r="FC72" i="65037" s="1"/>
  <c r="FB71" i="65037"/>
  <c r="FC71" i="65037" s="1" a="1"/>
  <c r="FC71" i="65037" s="1"/>
  <c r="FB77" i="65037"/>
  <c r="FC77" i="65037" s="1" a="1"/>
  <c r="FC77" i="65037" s="1"/>
  <c r="FB78" i="65037"/>
  <c r="FC78" i="65037" s="1" a="1"/>
  <c r="FC78" i="65037" s="1"/>
  <c r="FB76" i="65037"/>
  <c r="FC76" i="65037" s="1" a="1"/>
  <c r="FC76" i="65037" s="1"/>
  <c r="FB73" i="65037"/>
  <c r="FC73" i="65037" s="1" a="1"/>
  <c r="FC73" i="65037" s="1"/>
  <c r="FB69" i="65037"/>
  <c r="FC69" i="65037" s="1" a="1"/>
  <c r="FC69" i="65037" s="1"/>
  <c r="FB70" i="65037"/>
  <c r="FC70" i="65037" s="1" a="1"/>
  <c r="FC70" i="65037" s="1"/>
  <c r="FB75" i="65037"/>
  <c r="FC75" i="65037" s="1" a="1"/>
  <c r="FC75" i="65037" s="1"/>
  <c r="FB74" i="65037"/>
  <c r="FC74" i="65037" s="1" a="1"/>
  <c r="FC74" i="65037" s="1"/>
  <c r="FB67" i="65037"/>
  <c r="FC67" i="65037" s="1" a="1"/>
  <c r="FC67" i="65037" s="1"/>
  <c r="X90" i="65052"/>
  <c r="AG90" i="65052" s="1"/>
  <c r="AZ42" i="65037"/>
  <c r="DY187" i="65037"/>
  <c r="DX187" i="65037" s="1"/>
  <c r="EA184" i="65037"/>
  <c r="DY186" i="65037"/>
  <c r="DX186" i="65037" s="1"/>
  <c r="DY185" i="65037"/>
  <c r="DX185" i="65037" s="1"/>
  <c r="EA185" i="65037"/>
  <c r="BA38" i="65037"/>
  <c r="AZ38" i="65037"/>
  <c r="X86" i="65052"/>
  <c r="EF183" i="65037"/>
  <c r="AZ39" i="65037"/>
  <c r="BA39" i="65037"/>
  <c r="X87" i="65052"/>
  <c r="AG87" i="65052" s="1"/>
  <c r="BA46" i="65037"/>
  <c r="AZ46" i="65037"/>
  <c r="X94" i="65052"/>
  <c r="AG94" i="65052" s="1"/>
  <c r="AZ47" i="65037"/>
  <c r="BA47" i="65037"/>
  <c r="X95" i="65052"/>
  <c r="AG95" i="65052" s="1"/>
  <c r="BA43" i="65037"/>
  <c r="AZ43" i="65037"/>
  <c r="X91" i="65052"/>
  <c r="AG91" i="65052" s="1"/>
  <c r="BA49" i="65037"/>
  <c r="AZ49" i="65037"/>
  <c r="X97" i="65052"/>
  <c r="AG97" i="65052" s="1"/>
  <c r="AZ44" i="65037"/>
  <c r="X92" i="65052"/>
  <c r="AG92" i="65052" s="1"/>
  <c r="BA44" i="65037"/>
  <c r="DY189" i="65037"/>
  <c r="DX189" i="65037" s="1"/>
  <c r="EA189" i="65037"/>
  <c r="AZ45" i="65037"/>
  <c r="BA45" i="65037"/>
  <c r="X93" i="65052"/>
  <c r="AG93" i="65052" s="1"/>
  <c r="DX193" i="65037"/>
  <c r="EE193" i="65037"/>
  <c r="EA193" i="65037"/>
  <c r="DZ193" i="65037"/>
  <c r="DY193" i="65037"/>
  <c r="EA191" i="65037"/>
  <c r="DY191" i="65037"/>
  <c r="DZ191" i="65037"/>
  <c r="EE191" i="65037"/>
  <c r="DX191" i="65037"/>
  <c r="EA188" i="65037"/>
  <c r="DY188" i="65037"/>
  <c r="DX188" i="65037" s="1"/>
  <c r="EA194" i="65037"/>
  <c r="DZ194" i="65037"/>
  <c r="DY194" i="65037"/>
  <c r="EE194" i="65037"/>
  <c r="DX194" i="65037"/>
  <c r="EA190" i="65037"/>
  <c r="DY190" i="65037"/>
  <c r="DX190" i="65037" s="1"/>
  <c r="BA48" i="65037"/>
  <c r="AZ48" i="65037"/>
  <c r="X96" i="65052"/>
  <c r="AG96" i="65052" s="1"/>
  <c r="EA192" i="65037"/>
  <c r="EE192" i="65037"/>
  <c r="DY192" i="65037"/>
  <c r="DZ192" i="65037"/>
  <c r="DX192" i="65037"/>
  <c r="FB68" i="65037" l="1"/>
  <c r="FC68" i="65037" s="1" a="1"/>
  <c r="FC68" i="65037" s="1"/>
  <c r="DY183" i="65037"/>
  <c r="DX183" i="65037" s="1"/>
  <c r="EA183" i="65037"/>
  <c r="EC192" i="65037"/>
  <c r="EB192" i="65037" s="1"/>
  <c r="EC191" i="65037"/>
  <c r="EB191" i="65037" s="1"/>
  <c r="EC193" i="65037"/>
  <c r="EB193" i="65037" s="1"/>
  <c r="AH95" i="65052"/>
  <c r="AI95" i="65052" s="1"/>
  <c r="AK95" i="65052"/>
  <c r="AK94" i="65052"/>
  <c r="AH94" i="65052"/>
  <c r="AI94" i="65052" s="1"/>
  <c r="AK96" i="65052"/>
  <c r="AH96" i="65052"/>
  <c r="AI96" i="65052" s="1"/>
  <c r="EC194" i="65037"/>
  <c r="EB194" i="65037" s="1"/>
  <c r="AK97" i="65052"/>
  <c r="AH97" i="65052"/>
  <c r="AI97" i="65052" s="1"/>
  <c r="AM94" i="65052" l="1"/>
  <c r="AP94" i="65052"/>
  <c r="AL94" i="65052"/>
  <c r="AN94" i="65052"/>
  <c r="AO94" i="65052"/>
  <c r="AL96" i="65052"/>
  <c r="AP96" i="65052"/>
  <c r="AN96" i="65052"/>
  <c r="AM96" i="65052"/>
  <c r="AO96" i="65052"/>
  <c r="AL97" i="65052"/>
  <c r="AN97" i="65052"/>
  <c r="AM97" i="65052"/>
  <c r="AO97" i="65052"/>
  <c r="AP97" i="65052"/>
  <c r="AL95" i="65052"/>
  <c r="AP95" i="65052"/>
  <c r="AO95" i="65052"/>
  <c r="AM95" i="65052"/>
  <c r="AN95" i="65052"/>
  <c r="EF172" i="65037" l="1"/>
  <c r="EF181" i="65037"/>
  <c r="DY181" i="65037" s="1"/>
  <c r="EF182" i="65037"/>
  <c r="B27" i="65037"/>
  <c r="DR56" i="65037" l="1"/>
  <c r="DR53" i="65037" s="1"/>
  <c r="A27" i="65037"/>
  <c r="N27" i="65037"/>
  <c r="FB66" i="65037"/>
  <c r="FB65" i="65037"/>
  <c r="FC65" i="65037" s="1" a="1"/>
  <c r="FC65" i="65037" s="1"/>
  <c r="X85" i="65052"/>
  <c r="DF66" i="65037"/>
  <c r="X84" i="65052"/>
  <c r="DF65" i="65037"/>
  <c r="BA27" i="65037"/>
  <c r="DF56" i="65037"/>
  <c r="DY182" i="65037"/>
  <c r="DX182" i="65037" s="1"/>
  <c r="EA172" i="65037"/>
  <c r="BA37" i="65037"/>
  <c r="AZ37" i="65037"/>
  <c r="AZ36" i="65037"/>
  <c r="BA36" i="65037"/>
  <c r="EA182" i="65037"/>
  <c r="X75" i="65052"/>
  <c r="AG75" i="65052" s="1"/>
  <c r="DX181" i="65037"/>
  <c r="EA181" i="65037"/>
  <c r="DY172" i="65037"/>
  <c r="DX172" i="65037" s="1"/>
  <c r="DX169" i="65037" l="1"/>
  <c r="A24" i="65037"/>
  <c r="FB56" i="65037"/>
  <c r="FC56" i="65037" s="1" a="1"/>
  <c r="FC56" i="65037" s="1"/>
  <c r="FC66" i="65037" a="1"/>
  <c r="FC66" i="65037" s="1"/>
  <c r="BA24" i="65037"/>
  <c r="BA23" i="65037" l="1"/>
  <c r="FH55" i="65037" s="1"/>
  <c r="FI55" i="65037" s="1"/>
  <c r="FJ55" i="65037" s="1"/>
  <c r="FC52" i="65037"/>
  <c r="FA53" i="65037" s="1"/>
  <c r="FC53" i="65037"/>
  <c r="AZ102" i="65037" s="1"/>
  <c r="AZ103" i="65037" s="1"/>
  <c r="AZ104" i="65037" s="1"/>
  <c r="AZ105" i="65037" s="1"/>
  <c r="AZ106" i="65037" s="1"/>
  <c r="AZ107" i="65037" s="1"/>
  <c r="AZ108" i="65037" s="1"/>
  <c r="AZ109" i="65037" s="1"/>
  <c r="AZ110" i="65037" s="1"/>
  <c r="AZ111" i="65037" s="1"/>
  <c r="AZ27" i="65037"/>
  <c r="AZ28" i="65037"/>
  <c r="AU116" i="65037" l="1"/>
  <c r="FH54" i="65037"/>
  <c r="FI54" i="65037" s="1"/>
  <c r="FH63" i="65037"/>
  <c r="FI63" i="65037" s="1"/>
  <c r="FH61" i="65037"/>
  <c r="FI61" i="65037" s="1"/>
  <c r="FH59" i="65037"/>
  <c r="FI59" i="65037" s="1"/>
  <c r="FH60" i="65037"/>
  <c r="FI60" i="65037" s="1"/>
  <c r="FH62" i="65037"/>
  <c r="FI62" i="65037" s="1"/>
  <c r="FH64" i="65037"/>
  <c r="FI64" i="65037" s="1"/>
  <c r="FH57" i="65037"/>
  <c r="FI57" i="65037" s="1"/>
  <c r="FH58" i="65037"/>
  <c r="FI58" i="65037" s="1"/>
  <c r="FH70" i="65037"/>
  <c r="FI70" i="65037" s="1"/>
  <c r="FH66" i="65037"/>
  <c r="FI66" i="65037" s="1"/>
  <c r="FH67" i="65037"/>
  <c r="FI67" i="65037" s="1"/>
  <c r="FH68" i="65037"/>
  <c r="FI68" i="65037" s="1"/>
  <c r="FH69" i="65037"/>
  <c r="FI69" i="65037" s="1"/>
  <c r="FH71" i="65037"/>
  <c r="FI71" i="65037" s="1"/>
  <c r="FH65" i="65037"/>
  <c r="FI65" i="65037" s="1"/>
  <c r="FH78" i="65037"/>
  <c r="FI78" i="65037" s="1"/>
  <c r="FH77" i="65037"/>
  <c r="FI77" i="65037" s="1"/>
  <c r="FH75" i="65037"/>
  <c r="FI75" i="65037" s="1"/>
  <c r="FH72" i="65037"/>
  <c r="FI72" i="65037" s="1"/>
  <c r="FH73" i="65037"/>
  <c r="FI73" i="65037" s="1"/>
  <c r="FH74" i="65037"/>
  <c r="FI74" i="65037" s="1"/>
  <c r="FH56" i="65037"/>
  <c r="FI56" i="65037" s="1"/>
  <c r="FH76" i="65037"/>
  <c r="FI76" i="65037" s="1"/>
  <c r="EY80" i="65037"/>
  <c r="EZ80" i="65037" s="1"/>
  <c r="FA80" i="65037" s="1"/>
  <c r="BE116" i="65037"/>
  <c r="BE117" i="65037" s="1"/>
  <c r="BE118" i="65037" s="1"/>
  <c r="BE119" i="65037" s="1"/>
  <c r="BE120" i="65037" s="1"/>
  <c r="BE121" i="65037" s="1"/>
  <c r="BE122" i="65037" s="1"/>
  <c r="BE123" i="65037" s="1"/>
  <c r="BE124" i="65037" s="1"/>
  <c r="DU55" i="65037"/>
  <c r="FL55" i="65037"/>
  <c r="FM55" i="65037" s="1"/>
  <c r="FN55" i="65037" s="1"/>
  <c r="AW131" i="65037"/>
  <c r="DU56" i="65037" l="1"/>
  <c r="FJ56" i="65037"/>
  <c r="AW132" i="65037" s="1"/>
  <c r="FL56" i="65037"/>
  <c r="FM56" i="65037" s="1"/>
  <c r="DU71" i="65037"/>
  <c r="FJ71" i="65037"/>
  <c r="FL71" i="65037"/>
  <c r="FM71" i="65037" s="1"/>
  <c r="FJ64" i="65037"/>
  <c r="DU64" i="65037"/>
  <c r="FL64" i="65037"/>
  <c r="FM64" i="65037" s="1"/>
  <c r="FJ74" i="65037"/>
  <c r="AW150" i="65037" s="1"/>
  <c r="FL74" i="65037"/>
  <c r="FM74" i="65037" s="1"/>
  <c r="DU74" i="65037"/>
  <c r="DU69" i="65037"/>
  <c r="FL69" i="65037"/>
  <c r="FM69" i="65037" s="1"/>
  <c r="FJ69" i="65037"/>
  <c r="AW145" i="65037" s="1"/>
  <c r="DU62" i="65037"/>
  <c r="FJ62" i="65037"/>
  <c r="AW138" i="65037" s="1"/>
  <c r="FL62" i="65037"/>
  <c r="FM62" i="65037" s="1"/>
  <c r="FJ73" i="65037"/>
  <c r="AW149" i="65037" s="1"/>
  <c r="FL73" i="65037"/>
  <c r="FM73" i="65037" s="1"/>
  <c r="DU73" i="65037"/>
  <c r="DU68" i="65037"/>
  <c r="FJ68" i="65037"/>
  <c r="AW144" i="65037" s="1"/>
  <c r="FL68" i="65037"/>
  <c r="FM68" i="65037" s="1"/>
  <c r="FJ60" i="65037"/>
  <c r="AW136" i="65037" s="1"/>
  <c r="DU60" i="65037"/>
  <c r="FL60" i="65037"/>
  <c r="FM60" i="65037" s="1"/>
  <c r="FL72" i="65037"/>
  <c r="FM72" i="65037" s="1"/>
  <c r="DU72" i="65037"/>
  <c r="FJ72" i="65037"/>
  <c r="AW148" i="65037" s="1"/>
  <c r="AU148" i="65037" s="1"/>
  <c r="FJ67" i="65037"/>
  <c r="AW143" i="65037" s="1"/>
  <c r="FL67" i="65037"/>
  <c r="FM67" i="65037" s="1"/>
  <c r="DU67" i="65037"/>
  <c r="FL59" i="65037"/>
  <c r="FM59" i="65037" s="1"/>
  <c r="DU59" i="65037"/>
  <c r="FJ59" i="65037"/>
  <c r="AW135" i="65037" s="1"/>
  <c r="AU135" i="65037" s="1"/>
  <c r="FL75" i="65037"/>
  <c r="FM75" i="65037" s="1"/>
  <c r="FJ75" i="65037"/>
  <c r="AW151" i="65037" s="1"/>
  <c r="DU75" i="65037"/>
  <c r="FL66" i="65037"/>
  <c r="FM66" i="65037" s="1"/>
  <c r="DU66" i="65037"/>
  <c r="FJ66" i="65037"/>
  <c r="AW142" i="65037" s="1"/>
  <c r="AU142" i="65037" s="1"/>
  <c r="FL61" i="65037"/>
  <c r="FM61" i="65037" s="1"/>
  <c r="FJ61" i="65037"/>
  <c r="AW137" i="65037" s="1"/>
  <c r="DU61" i="65037"/>
  <c r="FL77" i="65037"/>
  <c r="FM77" i="65037" s="1"/>
  <c r="FJ77" i="65037"/>
  <c r="DU77" i="65037"/>
  <c r="FJ70" i="65037"/>
  <c r="AW146" i="65037" s="1"/>
  <c r="DU70" i="65037"/>
  <c r="FL70" i="65037"/>
  <c r="FM70" i="65037" s="1"/>
  <c r="FJ63" i="65037"/>
  <c r="AW139" i="65037" s="1"/>
  <c r="DU63" i="65037"/>
  <c r="FL63" i="65037"/>
  <c r="FM63" i="65037" s="1"/>
  <c r="FL78" i="65037"/>
  <c r="FM78" i="65037" s="1"/>
  <c r="DU78" i="65037"/>
  <c r="FJ78" i="65037"/>
  <c r="FJ58" i="65037"/>
  <c r="AW134" i="65037" s="1"/>
  <c r="FL58" i="65037"/>
  <c r="FM58" i="65037" s="1"/>
  <c r="DU58" i="65037"/>
  <c r="DU54" i="65037"/>
  <c r="FJ54" i="65037"/>
  <c r="AW130" i="65037" s="1"/>
  <c r="FL54" i="65037"/>
  <c r="FM54" i="65037" s="1"/>
  <c r="FL76" i="65037"/>
  <c r="FM76" i="65037" s="1"/>
  <c r="DU76" i="65037"/>
  <c r="FJ76" i="65037"/>
  <c r="AW152" i="65037" s="1"/>
  <c r="DU65" i="65037"/>
  <c r="FJ65" i="65037"/>
  <c r="FL65" i="65037"/>
  <c r="FM65" i="65037" s="1"/>
  <c r="FL57" i="65037"/>
  <c r="FM57" i="65037" s="1"/>
  <c r="FJ57" i="65037"/>
  <c r="AW133" i="65037" s="1"/>
  <c r="AU133" i="65037" s="1"/>
  <c r="DU57" i="65037"/>
  <c r="AW116" i="65037" a="1"/>
  <c r="AW116" i="65037" s="1"/>
  <c r="AV116" i="65037" a="1"/>
  <c r="AV116" i="65037" s="1"/>
  <c r="FB80" i="65037" a="1"/>
  <c r="FB80" i="65037" s="1"/>
  <c r="FB53" i="65037" s="1"/>
  <c r="EY81" i="65037"/>
  <c r="EZ81" i="65037" s="1"/>
  <c r="FA81" i="65037" s="1"/>
  <c r="FP55" i="65037"/>
  <c r="FQ55" i="65037" s="1"/>
  <c r="FR55" i="65037" s="1"/>
  <c r="DV55" i="65037"/>
  <c r="BU34" i="65037"/>
  <c r="AU131" i="65037"/>
  <c r="AT131" i="65037"/>
  <c r="FP76" i="65037" l="1"/>
  <c r="FQ76" i="65037" s="1"/>
  <c r="DV76" i="65037"/>
  <c r="FN76" i="65037"/>
  <c r="FP66" i="65037"/>
  <c r="FQ66" i="65037" s="1"/>
  <c r="FN66" i="65037"/>
  <c r="DV66" i="65037"/>
  <c r="FP67" i="65037"/>
  <c r="FQ67" i="65037" s="1"/>
  <c r="DV67" i="65037"/>
  <c r="FN67" i="65037"/>
  <c r="FP68" i="65037"/>
  <c r="FQ68" i="65037" s="1"/>
  <c r="FN68" i="65037"/>
  <c r="DV68" i="65037"/>
  <c r="FP78" i="65037"/>
  <c r="FQ78" i="65037" s="1"/>
  <c r="FN78" i="65037"/>
  <c r="DV78" i="65037"/>
  <c r="AW153" i="65037"/>
  <c r="AU143" i="65037"/>
  <c r="AU144" i="65037"/>
  <c r="AU145" i="65037"/>
  <c r="AW140" i="65037"/>
  <c r="FP57" i="65037"/>
  <c r="FQ57" i="65037" s="1"/>
  <c r="FN57" i="65037"/>
  <c r="DV57" i="65037"/>
  <c r="FN77" i="65037"/>
  <c r="FP77" i="65037"/>
  <c r="FQ77" i="65037" s="1"/>
  <c r="DV77" i="65037"/>
  <c r="AT151" i="65037"/>
  <c r="AU46" i="65037" s="1"/>
  <c r="AU151" i="65037"/>
  <c r="FN69" i="65037"/>
  <c r="DV69" i="65037"/>
  <c r="FP69" i="65037"/>
  <c r="FQ69" i="65037" s="1"/>
  <c r="DV71" i="65037"/>
  <c r="FP71" i="65037"/>
  <c r="FQ71" i="65037" s="1"/>
  <c r="FN71" i="65037"/>
  <c r="DV54" i="65037"/>
  <c r="FP54" i="65037"/>
  <c r="FQ54" i="65037" s="1"/>
  <c r="FN54" i="65037"/>
  <c r="AT130" i="65037"/>
  <c r="AU130" i="65037"/>
  <c r="DV63" i="65037"/>
  <c r="FN63" i="65037"/>
  <c r="FP63" i="65037"/>
  <c r="FQ63" i="65037" s="1"/>
  <c r="DV65" i="65037"/>
  <c r="FN65" i="65037"/>
  <c r="FP65" i="65037"/>
  <c r="FQ65" i="65037" s="1"/>
  <c r="FP75" i="65037"/>
  <c r="FQ75" i="65037" s="1"/>
  <c r="FN75" i="65037"/>
  <c r="DV75" i="65037"/>
  <c r="AW147" i="65037"/>
  <c r="AW141" i="65037"/>
  <c r="AU139" i="65037"/>
  <c r="AT137" i="65037"/>
  <c r="AU137" i="65037"/>
  <c r="FP72" i="65037"/>
  <c r="FQ72" i="65037" s="1"/>
  <c r="FN72" i="65037"/>
  <c r="DV72" i="65037"/>
  <c r="DV73" i="65037"/>
  <c r="FP73" i="65037"/>
  <c r="FQ73" i="65037" s="1"/>
  <c r="FN73" i="65037"/>
  <c r="FN58" i="65037"/>
  <c r="FP58" i="65037"/>
  <c r="FQ58" i="65037" s="1"/>
  <c r="DV58" i="65037"/>
  <c r="DV70" i="65037"/>
  <c r="FN70" i="65037"/>
  <c r="FP70" i="65037"/>
  <c r="FQ70" i="65037" s="1"/>
  <c r="FN61" i="65037"/>
  <c r="DV61" i="65037"/>
  <c r="FP61" i="65037"/>
  <c r="FQ61" i="65037" s="1"/>
  <c r="FP60" i="65037"/>
  <c r="FQ60" i="65037" s="1"/>
  <c r="DV60" i="65037"/>
  <c r="FN60" i="65037"/>
  <c r="AU149" i="65037"/>
  <c r="AT149" i="65037"/>
  <c r="AU44" i="65037" s="1"/>
  <c r="FN74" i="65037"/>
  <c r="DV74" i="65037"/>
  <c r="FP74" i="65037"/>
  <c r="FQ74" i="65037" s="1"/>
  <c r="DV56" i="65037"/>
  <c r="FP56" i="65037"/>
  <c r="FQ56" i="65037" s="1"/>
  <c r="FN56" i="65037"/>
  <c r="AT152" i="65037"/>
  <c r="AU47" i="65037" s="1"/>
  <c r="AU152" i="65037"/>
  <c r="AT134" i="65037"/>
  <c r="AU134" i="65037"/>
  <c r="DV59" i="65037"/>
  <c r="FN59" i="65037"/>
  <c r="FP59" i="65037"/>
  <c r="FQ59" i="65037" s="1"/>
  <c r="FP62" i="65037"/>
  <c r="FQ62" i="65037" s="1"/>
  <c r="FN62" i="65037"/>
  <c r="DV62" i="65037"/>
  <c r="AU150" i="65037"/>
  <c r="AT150" i="65037"/>
  <c r="AU45" i="65037" s="1"/>
  <c r="AT132" i="65037"/>
  <c r="AU132" i="65037"/>
  <c r="AW154" i="65037"/>
  <c r="AU146" i="65037"/>
  <c r="AT136" i="65037"/>
  <c r="AU136" i="65037"/>
  <c r="AU138" i="65037"/>
  <c r="AT138" i="65037"/>
  <c r="DV64" i="65037"/>
  <c r="FN64" i="65037"/>
  <c r="FP64" i="65037"/>
  <c r="FQ64" i="65037" s="1"/>
  <c r="AU26" i="65037"/>
  <c r="CP43" i="65037"/>
  <c r="CP35" i="65037"/>
  <c r="CP45" i="65037"/>
  <c r="CP47" i="65037"/>
  <c r="CP31" i="65037"/>
  <c r="CP29" i="65037"/>
  <c r="CP26" i="65037"/>
  <c r="CP28" i="65037"/>
  <c r="AU102" i="65037"/>
  <c r="DD49" i="65037" s="1"/>
  <c r="CP33" i="65037"/>
  <c r="CP49" i="65037"/>
  <c r="CP41" i="65037"/>
  <c r="CP25" i="65037"/>
  <c r="CP36" i="65037"/>
  <c r="CP32" i="65037"/>
  <c r="CP27" i="65037"/>
  <c r="CP48" i="65037"/>
  <c r="CP46" i="65037"/>
  <c r="CP40" i="65037"/>
  <c r="CP37" i="65037"/>
  <c r="CP34" i="65037"/>
  <c r="CP44" i="65037"/>
  <c r="CP39" i="65037"/>
  <c r="FB81" i="65037" a="1"/>
  <c r="FB81" i="65037" s="1"/>
  <c r="AU103" i="65037" s="1"/>
  <c r="CP38" i="65037"/>
  <c r="CP30" i="65037"/>
  <c r="CP42" i="65037"/>
  <c r="AX70" i="65037"/>
  <c r="BD70" i="65037" s="1"/>
  <c r="FT55" i="65037"/>
  <c r="FU55" i="65037" s="1"/>
  <c r="DX55" i="65037" s="1"/>
  <c r="DW55" i="65037"/>
  <c r="EY82" i="65037"/>
  <c r="AX68" i="65037"/>
  <c r="BD68" i="65037" s="1"/>
  <c r="AX77" i="65037"/>
  <c r="BD77" i="65037" s="1"/>
  <c r="AX67" i="65037"/>
  <c r="BD67" i="65037" s="1"/>
  <c r="AX56" i="65037"/>
  <c r="BD56" i="65037" s="1"/>
  <c r="AX57" i="65037"/>
  <c r="BD57" i="65037" s="1"/>
  <c r="AX72" i="65037"/>
  <c r="BD72" i="65037" s="1"/>
  <c r="AX75" i="65037"/>
  <c r="BD75" i="65037" s="1"/>
  <c r="AX62" i="65037"/>
  <c r="BD62" i="65037" s="1"/>
  <c r="AX61" i="65037"/>
  <c r="BD61" i="65037" s="1"/>
  <c r="AX78" i="65037"/>
  <c r="BD78" i="65037" s="1"/>
  <c r="AX63" i="65037"/>
  <c r="BD63" i="65037" s="1"/>
  <c r="AX76" i="65037"/>
  <c r="BD76" i="65037" s="1"/>
  <c r="AX71" i="65037"/>
  <c r="BD71" i="65037" s="1"/>
  <c r="AX58" i="65037"/>
  <c r="BD58" i="65037" s="1"/>
  <c r="AX64" i="65037"/>
  <c r="BD64" i="65037" s="1"/>
  <c r="AX54" i="65037"/>
  <c r="BD54" i="65037" s="1"/>
  <c r="AX74" i="65037"/>
  <c r="BD74" i="65037" s="1"/>
  <c r="AX73" i="65037"/>
  <c r="BD73" i="65037" s="1"/>
  <c r="AX55" i="65037"/>
  <c r="BD55" i="65037" s="1"/>
  <c r="AX59" i="65037"/>
  <c r="BD59" i="65037" s="1"/>
  <c r="AX66" i="65037"/>
  <c r="BD66" i="65037" s="1"/>
  <c r="AX60" i="65037"/>
  <c r="BD60" i="65037" s="1"/>
  <c r="AX65" i="65037"/>
  <c r="BD65" i="65037" s="1"/>
  <c r="AX69" i="65037"/>
  <c r="BD69" i="65037" s="1"/>
  <c r="AU32" i="65037" l="1"/>
  <c r="AU31" i="65037"/>
  <c r="AU27" i="65037"/>
  <c r="AU33" i="65037"/>
  <c r="AU29" i="65037"/>
  <c r="AU25" i="65037"/>
  <c r="FT76" i="65037"/>
  <c r="FU76" i="65037" s="1"/>
  <c r="DW76" i="65037"/>
  <c r="FR76" i="65037"/>
  <c r="FT56" i="65037"/>
  <c r="FU56" i="65037" s="1"/>
  <c r="FR56" i="65037"/>
  <c r="DW56" i="65037"/>
  <c r="DW73" i="65037"/>
  <c r="FT73" i="65037"/>
  <c r="FU73" i="65037" s="1"/>
  <c r="FR73" i="65037"/>
  <c r="DW54" i="65037"/>
  <c r="FT54" i="65037"/>
  <c r="FU54" i="65037" s="1"/>
  <c r="FR54" i="65037"/>
  <c r="FT57" i="65037"/>
  <c r="FU57" i="65037" s="1"/>
  <c r="DW57" i="65037"/>
  <c r="FR57" i="65037"/>
  <c r="FT65" i="65037"/>
  <c r="FU65" i="65037" s="1"/>
  <c r="DW65" i="65037"/>
  <c r="FR65" i="65037"/>
  <c r="FR67" i="65037"/>
  <c r="FT67" i="65037"/>
  <c r="FU67" i="65037" s="1"/>
  <c r="DW67" i="65037"/>
  <c r="FR64" i="65037"/>
  <c r="DW64" i="65037"/>
  <c r="FT64" i="65037"/>
  <c r="FU64" i="65037" s="1"/>
  <c r="FT60" i="65037"/>
  <c r="FU60" i="65037" s="1"/>
  <c r="FR60" i="65037"/>
  <c r="DW60" i="65037"/>
  <c r="FT66" i="65037"/>
  <c r="FU66" i="65037" s="1"/>
  <c r="DW66" i="65037"/>
  <c r="FR66" i="65037"/>
  <c r="DW74" i="65037"/>
  <c r="FR74" i="65037"/>
  <c r="FT74" i="65037"/>
  <c r="FU74" i="65037" s="1"/>
  <c r="DW58" i="65037"/>
  <c r="FR58" i="65037"/>
  <c r="FT58" i="65037"/>
  <c r="FU58" i="65037" s="1"/>
  <c r="DW63" i="65037"/>
  <c r="FT63" i="65037"/>
  <c r="FU63" i="65037" s="1"/>
  <c r="FR63" i="65037"/>
  <c r="AU140" i="65037"/>
  <c r="FR70" i="65037"/>
  <c r="DW70" i="65037"/>
  <c r="FT70" i="65037"/>
  <c r="FU70" i="65037" s="1"/>
  <c r="FT61" i="65037"/>
  <c r="FU61" i="65037" s="1"/>
  <c r="FR61" i="65037"/>
  <c r="DW61" i="65037"/>
  <c r="AU141" i="65037"/>
  <c r="FR75" i="65037"/>
  <c r="FT75" i="65037"/>
  <c r="FU75" i="65037" s="1"/>
  <c r="DW75" i="65037"/>
  <c r="FT71" i="65037"/>
  <c r="FU71" i="65037" s="1"/>
  <c r="FR71" i="65037"/>
  <c r="DW71" i="65037"/>
  <c r="AT153" i="65037"/>
  <c r="AU48" i="65037" s="1"/>
  <c r="AU153" i="65037"/>
  <c r="FR68" i="65037"/>
  <c r="DW68" i="65037"/>
  <c r="FT68" i="65037"/>
  <c r="FU68" i="65037" s="1"/>
  <c r="DW72" i="65037"/>
  <c r="FT72" i="65037"/>
  <c r="FU72" i="65037" s="1"/>
  <c r="FR72" i="65037"/>
  <c r="FR77" i="65037"/>
  <c r="DW77" i="65037"/>
  <c r="FT77" i="65037"/>
  <c r="FU77" i="65037" s="1"/>
  <c r="AV102" i="65037"/>
  <c r="AT154" i="65037"/>
  <c r="AU49" i="65037" s="1"/>
  <c r="AU154" i="65037"/>
  <c r="FR62" i="65037"/>
  <c r="DW62" i="65037"/>
  <c r="FT62" i="65037"/>
  <c r="FU62" i="65037" s="1"/>
  <c r="AU147" i="65037"/>
  <c r="AT147" i="65037"/>
  <c r="AU42" i="65037" s="1"/>
  <c r="FR69" i="65037"/>
  <c r="FT69" i="65037"/>
  <c r="FU69" i="65037" s="1"/>
  <c r="DW69" i="65037"/>
  <c r="FT78" i="65037"/>
  <c r="FU78" i="65037" s="1"/>
  <c r="DW78" i="65037"/>
  <c r="FR78" i="65037"/>
  <c r="FT59" i="65037"/>
  <c r="FU59" i="65037" s="1"/>
  <c r="FR59" i="65037"/>
  <c r="DW59" i="65037"/>
  <c r="DD35" i="65037"/>
  <c r="DD45" i="65037"/>
  <c r="DD39" i="65037"/>
  <c r="DD42" i="65037"/>
  <c r="DD25" i="65037"/>
  <c r="DD31" i="65037"/>
  <c r="DD37" i="65037"/>
  <c r="DD44" i="65037"/>
  <c r="FV55" i="65037"/>
  <c r="DD46" i="65037"/>
  <c r="DD36" i="65037"/>
  <c r="DD26" i="65037"/>
  <c r="DD41" i="65037"/>
  <c r="DD40" i="65037"/>
  <c r="DD48" i="65037"/>
  <c r="DD34" i="65037"/>
  <c r="FX55" i="65037"/>
  <c r="FY55" i="65037" s="1"/>
  <c r="FZ55" i="65037" s="1"/>
  <c r="DD43" i="65037"/>
  <c r="DD29" i="65037"/>
  <c r="DD27" i="65037"/>
  <c r="DD33" i="65037"/>
  <c r="DD30" i="65037"/>
  <c r="DD47" i="65037"/>
  <c r="DD38" i="65037"/>
  <c r="DD32" i="65037"/>
  <c r="DD28" i="65037"/>
  <c r="CP24" i="65037"/>
  <c r="CP23" i="65037" s="1"/>
  <c r="DE31" i="65037"/>
  <c r="AV103" i="65037"/>
  <c r="AT103" i="65037" s="1" a="1"/>
  <c r="AT103" i="65037" s="1"/>
  <c r="DE39" i="65037"/>
  <c r="DE25" i="65037"/>
  <c r="DE33" i="65037"/>
  <c r="DE45" i="65037"/>
  <c r="DE46" i="65037"/>
  <c r="DE35" i="65037"/>
  <c r="DE47" i="65037"/>
  <c r="DE36" i="65037"/>
  <c r="DE26" i="65037"/>
  <c r="DE44" i="65037"/>
  <c r="DE40" i="65037"/>
  <c r="DE41" i="65037"/>
  <c r="DE48" i="65037"/>
  <c r="DE43" i="65037"/>
  <c r="DE34" i="65037"/>
  <c r="DE37" i="65037"/>
  <c r="DE29" i="65037"/>
  <c r="DE49" i="65037"/>
  <c r="DE38" i="65037"/>
  <c r="DE28" i="65037"/>
  <c r="DE32" i="65037"/>
  <c r="DE42" i="65037"/>
  <c r="DE27" i="65037"/>
  <c r="DE30" i="65037"/>
  <c r="AX52" i="65037"/>
  <c r="AU84" i="65037" s="1"/>
  <c r="EY83" i="65037"/>
  <c r="EZ82" i="65037"/>
  <c r="FA82" i="65037" s="1"/>
  <c r="BD79" i="65037"/>
  <c r="AX79" i="65037" s="1"/>
  <c r="FX77" i="65037" l="1"/>
  <c r="FY77" i="65037" s="1"/>
  <c r="FV77" i="65037"/>
  <c r="DX77" i="65037"/>
  <c r="DX70" i="65037"/>
  <c r="FX70" i="65037"/>
  <c r="FY70" i="65037" s="1"/>
  <c r="FV70" i="65037"/>
  <c r="FX78" i="65037"/>
  <c r="FY78" i="65037" s="1"/>
  <c r="FV78" i="65037"/>
  <c r="DX78" i="65037"/>
  <c r="FV62" i="65037"/>
  <c r="DX62" i="65037"/>
  <c r="FX62" i="65037"/>
  <c r="FY62" i="65037" s="1"/>
  <c r="FX75" i="65037"/>
  <c r="FY75" i="65037" s="1"/>
  <c r="FV75" i="65037"/>
  <c r="DX75" i="65037"/>
  <c r="FV58" i="65037"/>
  <c r="FX58" i="65037"/>
  <c r="FY58" i="65037" s="1"/>
  <c r="DX58" i="65037"/>
  <c r="FX57" i="65037"/>
  <c r="FY57" i="65037" s="1"/>
  <c r="FV57" i="65037"/>
  <c r="DX57" i="65037"/>
  <c r="DX66" i="65037"/>
  <c r="FV66" i="65037"/>
  <c r="FX66" i="65037"/>
  <c r="FY66" i="65037" s="1"/>
  <c r="DX67" i="65037"/>
  <c r="FV67" i="65037"/>
  <c r="FX67" i="65037"/>
  <c r="FY67" i="65037" s="1"/>
  <c r="FV56" i="65037"/>
  <c r="DX56" i="65037"/>
  <c r="FX56" i="65037"/>
  <c r="FY56" i="65037" s="1"/>
  <c r="FV54" i="65037"/>
  <c r="FX54" i="65037"/>
  <c r="FY54" i="65037" s="1"/>
  <c r="DX54" i="65037"/>
  <c r="FX72" i="65037"/>
  <c r="FY72" i="65037" s="1"/>
  <c r="DX72" i="65037"/>
  <c r="FV72" i="65037"/>
  <c r="FV74" i="65037"/>
  <c r="DX74" i="65037"/>
  <c r="FX74" i="65037"/>
  <c r="FY74" i="65037" s="1"/>
  <c r="FX69" i="65037"/>
  <c r="FY69" i="65037" s="1"/>
  <c r="FV69" i="65037"/>
  <c r="DX69" i="65037"/>
  <c r="FV60" i="65037"/>
  <c r="DX60" i="65037"/>
  <c r="FX60" i="65037"/>
  <c r="FY60" i="65037" s="1"/>
  <c r="FX76" i="65037"/>
  <c r="FY76" i="65037" s="1"/>
  <c r="FV76" i="65037"/>
  <c r="DX76" i="65037"/>
  <c r="DX59" i="65037"/>
  <c r="FX59" i="65037"/>
  <c r="FY59" i="65037" s="1"/>
  <c r="FV59" i="65037"/>
  <c r="FX71" i="65037"/>
  <c r="FY71" i="65037" s="1"/>
  <c r="FV71" i="65037"/>
  <c r="DX71" i="65037"/>
  <c r="DX64" i="65037"/>
  <c r="FX64" i="65037"/>
  <c r="FY64" i="65037" s="1"/>
  <c r="FV64" i="65037"/>
  <c r="FV65" i="65037"/>
  <c r="DX65" i="65037"/>
  <c r="FX65" i="65037"/>
  <c r="FY65" i="65037" s="1"/>
  <c r="DX73" i="65037"/>
  <c r="FX73" i="65037"/>
  <c r="FY73" i="65037" s="1"/>
  <c r="FV73" i="65037"/>
  <c r="DX68" i="65037"/>
  <c r="FV68" i="65037"/>
  <c r="FX68" i="65037"/>
  <c r="FY68" i="65037" s="1"/>
  <c r="FV61" i="65037"/>
  <c r="DX61" i="65037"/>
  <c r="FX61" i="65037"/>
  <c r="FY61" i="65037" s="1"/>
  <c r="FX63" i="65037"/>
  <c r="FY63" i="65037" s="1"/>
  <c r="FV63" i="65037"/>
  <c r="DX63" i="65037"/>
  <c r="DY55" i="65037"/>
  <c r="GB55" i="65037"/>
  <c r="GC55" i="65037" s="1"/>
  <c r="DZ55" i="65037" s="1"/>
  <c r="FB82" i="65037" a="1"/>
  <c r="FB82" i="65037" s="1"/>
  <c r="AU104" i="65037" s="1"/>
  <c r="AU86" i="65037"/>
  <c r="AY52" i="65037"/>
  <c r="EY84" i="65037"/>
  <c r="EZ83" i="65037"/>
  <c r="FA83" i="65037" s="1"/>
  <c r="AZ84" i="65037"/>
  <c r="BC90" i="65037" s="1"/>
  <c r="AU87" i="65037"/>
  <c r="BH87" i="65037" s="1"/>
  <c r="BT87" i="65037" s="1"/>
  <c r="AU89" i="65037"/>
  <c r="AU91" i="65037"/>
  <c r="AU93" i="65037"/>
  <c r="BH93" i="65037" s="1"/>
  <c r="AU88" i="65037"/>
  <c r="AU90" i="65037"/>
  <c r="BH90" i="65037" s="1"/>
  <c r="BR90" i="65037" s="1"/>
  <c r="AU92" i="65037"/>
  <c r="BJ92" i="65037" s="1"/>
  <c r="AU64" i="65037"/>
  <c r="BH91" i="65037" l="1"/>
  <c r="DY63" i="65037"/>
  <c r="GB63" i="65037"/>
  <c r="GC63" i="65037" s="1"/>
  <c r="FZ63" i="65037"/>
  <c r="FZ56" i="65037"/>
  <c r="GB56" i="65037"/>
  <c r="GC56" i="65037" s="1"/>
  <c r="DY56" i="65037"/>
  <c r="DY57" i="65037"/>
  <c r="GB57" i="65037"/>
  <c r="GC57" i="65037" s="1"/>
  <c r="FZ57" i="65037"/>
  <c r="FZ61" i="65037"/>
  <c r="DY61" i="65037"/>
  <c r="GB61" i="65037"/>
  <c r="GC61" i="65037" s="1"/>
  <c r="DY54" i="65037"/>
  <c r="GB54" i="65037"/>
  <c r="GC54" i="65037" s="1"/>
  <c r="FZ54" i="65037"/>
  <c r="DY64" i="65037"/>
  <c r="GB64" i="65037"/>
  <c r="GC64" i="65037" s="1"/>
  <c r="FZ64" i="65037"/>
  <c r="FZ71" i="65037"/>
  <c r="GB71" i="65037"/>
  <c r="GC71" i="65037" s="1"/>
  <c r="DY71" i="65037"/>
  <c r="FZ72" i="65037"/>
  <c r="DY72" i="65037"/>
  <c r="GB72" i="65037"/>
  <c r="GC72" i="65037" s="1"/>
  <c r="DY67" i="65037"/>
  <c r="FZ67" i="65037"/>
  <c r="GB67" i="65037"/>
  <c r="GC67" i="65037" s="1"/>
  <c r="GB78" i="65037"/>
  <c r="GC78" i="65037" s="1"/>
  <c r="FZ78" i="65037"/>
  <c r="DY78" i="65037"/>
  <c r="GB68" i="65037"/>
  <c r="GC68" i="65037" s="1"/>
  <c r="DY68" i="65037"/>
  <c r="FZ68" i="65037"/>
  <c r="GB76" i="65037"/>
  <c r="GC76" i="65037" s="1"/>
  <c r="DY76" i="65037"/>
  <c r="FZ76" i="65037"/>
  <c r="DY74" i="65037"/>
  <c r="FZ74" i="65037"/>
  <c r="GB74" i="65037"/>
  <c r="GC74" i="65037" s="1"/>
  <c r="GB75" i="65037"/>
  <c r="GC75" i="65037" s="1"/>
  <c r="DY75" i="65037"/>
  <c r="FZ75" i="65037"/>
  <c r="FZ77" i="65037"/>
  <c r="DY77" i="65037"/>
  <c r="GB77" i="65037"/>
  <c r="GC77" i="65037" s="1"/>
  <c r="FZ73" i="65037"/>
  <c r="GB73" i="65037"/>
  <c r="GC73" i="65037" s="1"/>
  <c r="DY73" i="65037"/>
  <c r="GB70" i="65037"/>
  <c r="GC70" i="65037" s="1"/>
  <c r="DY70" i="65037"/>
  <c r="FZ70" i="65037"/>
  <c r="DY59" i="65037"/>
  <c r="FZ59" i="65037"/>
  <c r="GB59" i="65037"/>
  <c r="GC59" i="65037" s="1"/>
  <c r="DY66" i="65037"/>
  <c r="FZ66" i="65037"/>
  <c r="GB66" i="65037"/>
  <c r="GC66" i="65037" s="1"/>
  <c r="FZ58" i="65037"/>
  <c r="GB58" i="65037"/>
  <c r="GC58" i="65037" s="1"/>
  <c r="DY58" i="65037"/>
  <c r="DY62" i="65037"/>
  <c r="FZ62" i="65037"/>
  <c r="GB62" i="65037"/>
  <c r="GC62" i="65037" s="1"/>
  <c r="GB65" i="65037"/>
  <c r="GC65" i="65037" s="1"/>
  <c r="FZ65" i="65037"/>
  <c r="DY65" i="65037"/>
  <c r="FZ60" i="65037"/>
  <c r="DY60" i="65037"/>
  <c r="GB60" i="65037"/>
  <c r="GC60" i="65037" s="1"/>
  <c r="FZ69" i="65037"/>
  <c r="DY69" i="65037"/>
  <c r="GB69" i="65037"/>
  <c r="GC69" i="65037" s="1"/>
  <c r="BD126" i="65037"/>
  <c r="BB115" i="65037" s="1"/>
  <c r="O25" i="65037" s="1"/>
  <c r="Q25" i="65037" s="1"/>
  <c r="GF55" i="65037"/>
  <c r="GG55" i="65037" s="1"/>
  <c r="GJ55" i="65037" s="1"/>
  <c r="GK55" i="65037" s="1"/>
  <c r="GD55" i="65037"/>
  <c r="FB83" i="65037" a="1"/>
  <c r="FB83" i="65037" s="1"/>
  <c r="AU105" i="65037" s="1"/>
  <c r="DF45" i="65037"/>
  <c r="DF40" i="65037"/>
  <c r="AV104" i="65037"/>
  <c r="AT104" i="65037" s="1" a="1"/>
  <c r="AT104" i="65037" s="1"/>
  <c r="DF38" i="65037"/>
  <c r="DF36" i="65037"/>
  <c r="DF31" i="65037"/>
  <c r="DF30" i="65037"/>
  <c r="DF49" i="65037"/>
  <c r="DF37" i="65037"/>
  <c r="DF39" i="65037"/>
  <c r="DF48" i="65037"/>
  <c r="DF47" i="65037"/>
  <c r="DF27" i="65037"/>
  <c r="DF32" i="65037"/>
  <c r="DF25" i="65037"/>
  <c r="DF43" i="65037"/>
  <c r="DF29" i="65037"/>
  <c r="DF44" i="65037"/>
  <c r="DF26" i="65037"/>
  <c r="DF41" i="65037"/>
  <c r="DF28" i="65037"/>
  <c r="DF42" i="65037"/>
  <c r="DF46" i="65037"/>
  <c r="DF34" i="65037"/>
  <c r="DF35" i="65037"/>
  <c r="DF33" i="65037"/>
  <c r="BC93" i="65037"/>
  <c r="BC88" i="65037"/>
  <c r="BC89" i="65037"/>
  <c r="EZ84" i="65037"/>
  <c r="FA84" i="65037" s="1"/>
  <c r="EY85" i="65037"/>
  <c r="BC92" i="65037"/>
  <c r="BC91" i="65037"/>
  <c r="BR93" i="65037"/>
  <c r="BT93" i="65037"/>
  <c r="BK92" i="65037"/>
  <c r="BL92" i="65037" s="1"/>
  <c r="BM92" i="65037" s="1"/>
  <c r="BN92" i="65037" s="1"/>
  <c r="BJ93" i="65037"/>
  <c r="BV93" i="65037"/>
  <c r="BI93" i="65037"/>
  <c r="BS93" i="65037"/>
  <c r="BR91" i="65037"/>
  <c r="BJ91" i="65037"/>
  <c r="BI91" i="65037"/>
  <c r="BV91" i="65037"/>
  <c r="BH88" i="65037"/>
  <c r="BS88" i="65037" s="1"/>
  <c r="BS92" i="65037"/>
  <c r="BT91" i="65037"/>
  <c r="BS91" i="65037"/>
  <c r="BH89" i="65037"/>
  <c r="BR89" i="65037" s="1"/>
  <c r="BH86" i="65037"/>
  <c r="BI86" i="65037" s="1"/>
  <c r="BH92" i="65037"/>
  <c r="BK91" i="65037"/>
  <c r="BL91" i="65037" s="1"/>
  <c r="BM91" i="65037" s="1"/>
  <c r="BN91" i="65037" s="1"/>
  <c r="BT92" i="65037"/>
  <c r="BK85" i="65037"/>
  <c r="BQ85" i="65037" s="1"/>
  <c r="BL85" i="65037" s="1"/>
  <c r="BM85" i="65037" s="1"/>
  <c r="BN85" i="65037" s="1"/>
  <c r="BI92" i="65037"/>
  <c r="BV92" i="65037"/>
  <c r="BR92" i="65037"/>
  <c r="BV87" i="65037"/>
  <c r="BS90" i="65037"/>
  <c r="BJ90" i="65037"/>
  <c r="BV90" i="65037"/>
  <c r="BI87" i="65037"/>
  <c r="BI90" i="65037"/>
  <c r="BS87" i="65037"/>
  <c r="BT90" i="65037"/>
  <c r="BJ87" i="65037"/>
  <c r="BR87" i="65037"/>
  <c r="EA55" i="65037" l="1"/>
  <c r="GD59" i="65037"/>
  <c r="DZ59" i="65037"/>
  <c r="GF59" i="65037"/>
  <c r="GG59" i="65037" s="1"/>
  <c r="GF76" i="65037"/>
  <c r="GG76" i="65037" s="1"/>
  <c r="GD76" i="65037"/>
  <c r="DZ76" i="65037"/>
  <c r="GF57" i="65037"/>
  <c r="GG57" i="65037" s="1"/>
  <c r="DZ57" i="65037"/>
  <c r="GD57" i="65037"/>
  <c r="DZ58" i="65037"/>
  <c r="GF58" i="65037"/>
  <c r="GG58" i="65037" s="1"/>
  <c r="GD58" i="65037"/>
  <c r="DZ73" i="65037"/>
  <c r="GD73" i="65037"/>
  <c r="GF73" i="65037"/>
  <c r="GG73" i="65037" s="1"/>
  <c r="GF67" i="65037"/>
  <c r="GG67" i="65037" s="1"/>
  <c r="GD67" i="65037"/>
  <c r="DZ67" i="65037"/>
  <c r="DZ69" i="65037"/>
  <c r="GD69" i="65037"/>
  <c r="GF69" i="65037"/>
  <c r="GG69" i="65037" s="1"/>
  <c r="GD65" i="65037"/>
  <c r="DZ65" i="65037"/>
  <c r="GF65" i="65037"/>
  <c r="GG65" i="65037" s="1"/>
  <c r="GD75" i="65037"/>
  <c r="GF75" i="65037"/>
  <c r="GG75" i="65037" s="1"/>
  <c r="DZ75" i="65037"/>
  <c r="GF71" i="65037"/>
  <c r="GG71" i="65037" s="1"/>
  <c r="GD71" i="65037"/>
  <c r="DZ71" i="65037"/>
  <c r="GF61" i="65037"/>
  <c r="GG61" i="65037" s="1"/>
  <c r="DZ61" i="65037"/>
  <c r="GD61" i="65037"/>
  <c r="DZ66" i="65037"/>
  <c r="GF66" i="65037"/>
  <c r="GG66" i="65037" s="1"/>
  <c r="GD66" i="65037"/>
  <c r="DZ74" i="65037"/>
  <c r="GF74" i="65037"/>
  <c r="GG74" i="65037" s="1"/>
  <c r="GD74" i="65037"/>
  <c r="DZ68" i="65037"/>
  <c r="GD68" i="65037"/>
  <c r="GF68" i="65037"/>
  <c r="GG68" i="65037" s="1"/>
  <c r="GD56" i="65037"/>
  <c r="GF56" i="65037"/>
  <c r="GG56" i="65037" s="1"/>
  <c r="DZ56" i="65037"/>
  <c r="GF77" i="65037"/>
  <c r="GG77" i="65037" s="1"/>
  <c r="DZ77" i="65037"/>
  <c r="GD77" i="65037"/>
  <c r="GF60" i="65037"/>
  <c r="GG60" i="65037" s="1"/>
  <c r="GD60" i="65037"/>
  <c r="DZ60" i="65037"/>
  <c r="GD62" i="65037"/>
  <c r="DZ62" i="65037"/>
  <c r="GF62" i="65037"/>
  <c r="GG62" i="65037" s="1"/>
  <c r="GF70" i="65037"/>
  <c r="GG70" i="65037" s="1"/>
  <c r="DZ70" i="65037"/>
  <c r="GD70" i="65037"/>
  <c r="GF72" i="65037"/>
  <c r="GG72" i="65037" s="1"/>
  <c r="GD72" i="65037"/>
  <c r="DZ72" i="65037"/>
  <c r="GF64" i="65037"/>
  <c r="GG64" i="65037" s="1"/>
  <c r="GD64" i="65037"/>
  <c r="DZ64" i="65037"/>
  <c r="GD54" i="65037"/>
  <c r="GF54" i="65037"/>
  <c r="GG54" i="65037" s="1"/>
  <c r="DZ54" i="65037"/>
  <c r="GF78" i="65037"/>
  <c r="GG78" i="65037" s="1"/>
  <c r="DZ78" i="65037"/>
  <c r="GD78" i="65037"/>
  <c r="GF63" i="65037"/>
  <c r="GG63" i="65037" s="1"/>
  <c r="DZ63" i="65037"/>
  <c r="GD63" i="65037"/>
  <c r="GH55" i="65037"/>
  <c r="O30" i="65037"/>
  <c r="O34" i="65037"/>
  <c r="O31" i="65037"/>
  <c r="O32" i="65037"/>
  <c r="O35" i="65037"/>
  <c r="O33" i="65037"/>
  <c r="O26" i="65037"/>
  <c r="O39" i="65037"/>
  <c r="O46" i="65037"/>
  <c r="O44" i="65037"/>
  <c r="O43" i="65037"/>
  <c r="O47" i="65037"/>
  <c r="O41" i="65037"/>
  <c r="O45" i="65037"/>
  <c r="O37" i="65037"/>
  <c r="O48" i="65037"/>
  <c r="O49" i="65037"/>
  <c r="O36" i="65037"/>
  <c r="O42" i="65037"/>
  <c r="O40" i="65037"/>
  <c r="O38" i="65037"/>
  <c r="O28" i="65037"/>
  <c r="O29" i="65037"/>
  <c r="AZ116" i="65037"/>
  <c r="BB116" i="65037"/>
  <c r="FB84" i="65037" a="1"/>
  <c r="FB84" i="65037" s="1"/>
  <c r="AU106" i="65037" s="1"/>
  <c r="DG32" i="65037"/>
  <c r="DG46" i="65037"/>
  <c r="DG40" i="65037"/>
  <c r="DG47" i="65037"/>
  <c r="DG26" i="65037"/>
  <c r="DG33" i="65037"/>
  <c r="DG48" i="65037"/>
  <c r="DG30" i="65037"/>
  <c r="DG38" i="65037"/>
  <c r="DG39" i="65037"/>
  <c r="DG28" i="65037"/>
  <c r="DG34" i="65037"/>
  <c r="DG44" i="65037"/>
  <c r="DG35" i="65037"/>
  <c r="DG49" i="65037"/>
  <c r="DG41" i="65037"/>
  <c r="DG43" i="65037"/>
  <c r="DG25" i="65037"/>
  <c r="DG29" i="65037"/>
  <c r="DG31" i="65037"/>
  <c r="DG36" i="65037"/>
  <c r="DG27" i="65037"/>
  <c r="AV105" i="65037"/>
  <c r="AT105" i="65037" s="1" a="1"/>
  <c r="AT105" i="65037" s="1"/>
  <c r="DG45" i="65037"/>
  <c r="DG42" i="65037"/>
  <c r="DG37" i="65037"/>
  <c r="EZ85" i="65037"/>
  <c r="FA85" i="65037" s="1"/>
  <c r="EY86" i="65037"/>
  <c r="BQ92" i="65037"/>
  <c r="BT89" i="65037"/>
  <c r="BR86" i="65037"/>
  <c r="BJ86" i="65037"/>
  <c r="BT86" i="65037"/>
  <c r="BI89" i="65037"/>
  <c r="BI88" i="65037"/>
  <c r="BR88" i="65037"/>
  <c r="BT88" i="65037"/>
  <c r="BJ88" i="65037"/>
  <c r="BV88" i="65037"/>
  <c r="BS86" i="65037"/>
  <c r="BV89" i="65037"/>
  <c r="BS89" i="65037"/>
  <c r="BJ89" i="65037"/>
  <c r="BQ91" i="65037"/>
  <c r="BV86" i="65037"/>
  <c r="BP93" i="65037"/>
  <c r="BO93" i="65037" s="1"/>
  <c r="AW93" i="65037"/>
  <c r="EB55" i="65037"/>
  <c r="GL55" i="65037"/>
  <c r="GN55" i="65037"/>
  <c r="GO55" i="65037" s="1"/>
  <c r="BP92" i="65037"/>
  <c r="BO92" i="65037" s="1"/>
  <c r="AW92" i="65037"/>
  <c r="AW86" i="65037"/>
  <c r="BP86" i="65037"/>
  <c r="EA70" i="65037" l="1"/>
  <c r="GJ70" i="65037"/>
  <c r="GK70" i="65037" s="1"/>
  <c r="GH70" i="65037"/>
  <c r="GJ60" i="65037"/>
  <c r="GK60" i="65037" s="1"/>
  <c r="GH60" i="65037"/>
  <c r="EA60" i="65037"/>
  <c r="GJ69" i="65037"/>
  <c r="GK69" i="65037" s="1"/>
  <c r="EA69" i="65037"/>
  <c r="GH69" i="65037"/>
  <c r="GJ76" i="65037"/>
  <c r="GK76" i="65037" s="1"/>
  <c r="GH76" i="65037"/>
  <c r="EA76" i="65037"/>
  <c r="GH73" i="65037"/>
  <c r="EA73" i="65037"/>
  <c r="GJ73" i="65037"/>
  <c r="GK73" i="65037" s="1"/>
  <c r="GJ72" i="65037"/>
  <c r="GK72" i="65037" s="1"/>
  <c r="EA72" i="65037"/>
  <c r="GH72" i="65037"/>
  <c r="EA77" i="65037"/>
  <c r="GJ77" i="65037"/>
  <c r="GK77" i="65037" s="1"/>
  <c r="GH77" i="65037"/>
  <c r="GJ56" i="65037"/>
  <c r="GK56" i="65037" s="1"/>
  <c r="GH56" i="65037"/>
  <c r="EA56" i="65037"/>
  <c r="GJ74" i="65037"/>
  <c r="GK74" i="65037" s="1"/>
  <c r="EA74" i="65037"/>
  <c r="GH74" i="65037"/>
  <c r="EA75" i="65037"/>
  <c r="GJ75" i="65037"/>
  <c r="GK75" i="65037" s="1"/>
  <c r="GH75" i="65037"/>
  <c r="GJ63" i="65037"/>
  <c r="GK63" i="65037" s="1"/>
  <c r="GH63" i="65037"/>
  <c r="EA63" i="65037"/>
  <c r="EA54" i="65037"/>
  <c r="GJ54" i="65037"/>
  <c r="GK54" i="65037" s="1"/>
  <c r="GH54" i="65037"/>
  <c r="EA62" i="65037"/>
  <c r="GH62" i="65037"/>
  <c r="GJ62" i="65037"/>
  <c r="GK62" i="65037" s="1"/>
  <c r="GJ61" i="65037"/>
  <c r="GK61" i="65037" s="1"/>
  <c r="EA61" i="65037"/>
  <c r="GH61" i="65037"/>
  <c r="EA59" i="65037"/>
  <c r="GH59" i="65037"/>
  <c r="GJ59" i="65037"/>
  <c r="GK59" i="65037" s="1"/>
  <c r="EA65" i="65037"/>
  <c r="GJ65" i="65037"/>
  <c r="GK65" i="65037" s="1"/>
  <c r="GH65" i="65037"/>
  <c r="GJ57" i="65037"/>
  <c r="GK57" i="65037" s="1"/>
  <c r="EA57" i="65037"/>
  <c r="GH57" i="65037"/>
  <c r="GJ68" i="65037"/>
  <c r="GK68" i="65037" s="1"/>
  <c r="GH68" i="65037"/>
  <c r="EA68" i="65037"/>
  <c r="GJ66" i="65037"/>
  <c r="GK66" i="65037" s="1"/>
  <c r="GH66" i="65037"/>
  <c r="EA66" i="65037"/>
  <c r="GH58" i="65037"/>
  <c r="EA58" i="65037"/>
  <c r="GJ58" i="65037"/>
  <c r="GK58" i="65037" s="1"/>
  <c r="GJ78" i="65037"/>
  <c r="GK78" i="65037" s="1"/>
  <c r="GH78" i="65037"/>
  <c r="EA78" i="65037"/>
  <c r="EA64" i="65037"/>
  <c r="GJ64" i="65037"/>
  <c r="GK64" i="65037" s="1"/>
  <c r="GH64" i="65037"/>
  <c r="EA71" i="65037"/>
  <c r="GJ71" i="65037"/>
  <c r="GK71" i="65037" s="1"/>
  <c r="GH71" i="65037"/>
  <c r="GH67" i="65037"/>
  <c r="EA67" i="65037"/>
  <c r="GJ67" i="65037"/>
  <c r="GK67" i="65037" s="1"/>
  <c r="AZ117" i="65037"/>
  <c r="AZ118" i="65037" s="1"/>
  <c r="AZ119" i="65037" s="1"/>
  <c r="AZ120" i="65037" s="1"/>
  <c r="AZ121" i="65037" s="1"/>
  <c r="AZ122" i="65037" s="1"/>
  <c r="BB117" i="65037"/>
  <c r="BO86" i="65037"/>
  <c r="FE54" i="65037"/>
  <c r="FB85" i="65037" a="1"/>
  <c r="FB85" i="65037" s="1"/>
  <c r="AU107" i="65037" s="1"/>
  <c r="DH36" i="65037"/>
  <c r="DH49" i="65037"/>
  <c r="DH47" i="65037"/>
  <c r="DH46" i="65037"/>
  <c r="DH45" i="65037"/>
  <c r="DH31" i="65037"/>
  <c r="DH26" i="65037"/>
  <c r="DH25" i="65037"/>
  <c r="DH39" i="65037"/>
  <c r="DH44" i="65037"/>
  <c r="DH38" i="65037"/>
  <c r="DH32" i="65037"/>
  <c r="DH37" i="65037"/>
  <c r="DH28" i="65037"/>
  <c r="DH30" i="65037"/>
  <c r="DH27" i="65037"/>
  <c r="DH40" i="65037"/>
  <c r="DH35" i="65037"/>
  <c r="DH34" i="65037"/>
  <c r="AW106" i="65037"/>
  <c r="AY106" i="65037" s="1"/>
  <c r="AX106" i="65037" s="1"/>
  <c r="DH33" i="65037"/>
  <c r="DH42" i="65037"/>
  <c r="DH29" i="65037"/>
  <c r="DH41" i="65037"/>
  <c r="AV106" i="65037"/>
  <c r="AT106" i="65037" s="1" a="1"/>
  <c r="AT106" i="65037" s="1"/>
  <c r="DH48" i="65037"/>
  <c r="DH43" i="65037"/>
  <c r="EY87" i="65037"/>
  <c r="EZ86" i="65037"/>
  <c r="FA86" i="65037" s="1"/>
  <c r="AV93" i="65037"/>
  <c r="BU93" i="65037" s="1"/>
  <c r="AZ93" i="65037"/>
  <c r="AY93" i="65037" s="1"/>
  <c r="BA93" i="65037" s="1"/>
  <c r="GP55" i="65037"/>
  <c r="EC55" i="65037"/>
  <c r="GR55" i="65037"/>
  <c r="GS55" i="65037" s="1"/>
  <c r="AV86" i="65037"/>
  <c r="BU86" i="65037" s="1"/>
  <c r="BW86" i="65037" s="1"/>
  <c r="BY86" i="65037" s="1"/>
  <c r="AV92" i="65037"/>
  <c r="BU92" i="65037" s="1"/>
  <c r="AZ92" i="65037"/>
  <c r="AY92" i="65037" s="1"/>
  <c r="BA92" i="65037" s="1"/>
  <c r="EB66" i="65037" l="1"/>
  <c r="GL66" i="65037"/>
  <c r="GN66" i="65037"/>
  <c r="GO66" i="65037" s="1"/>
  <c r="EB75" i="65037"/>
  <c r="GN75" i="65037"/>
  <c r="GO75" i="65037" s="1"/>
  <c r="GL75" i="65037"/>
  <c r="GL56" i="65037"/>
  <c r="EB56" i="65037"/>
  <c r="GN56" i="65037"/>
  <c r="GO56" i="65037" s="1"/>
  <c r="EB69" i="65037"/>
  <c r="GN69" i="65037"/>
  <c r="GO69" i="65037" s="1"/>
  <c r="GL69" i="65037"/>
  <c r="GL64" i="65037"/>
  <c r="EB64" i="65037"/>
  <c r="GN64" i="65037"/>
  <c r="GO64" i="65037" s="1"/>
  <c r="EB58" i="65037"/>
  <c r="GN58" i="65037"/>
  <c r="GO58" i="65037" s="1"/>
  <c r="GL58" i="65037"/>
  <c r="EB57" i="65037"/>
  <c r="GL57" i="65037"/>
  <c r="GN57" i="65037"/>
  <c r="GO57" i="65037" s="1"/>
  <c r="EB73" i="65037"/>
  <c r="GL73" i="65037"/>
  <c r="GN73" i="65037"/>
  <c r="GO73" i="65037" s="1"/>
  <c r="GN59" i="65037"/>
  <c r="GO59" i="65037" s="1"/>
  <c r="EB59" i="65037"/>
  <c r="GL59" i="65037"/>
  <c r="GN77" i="65037"/>
  <c r="GO77" i="65037" s="1"/>
  <c r="GL77" i="65037"/>
  <c r="EB77" i="65037"/>
  <c r="EB68" i="65037"/>
  <c r="GL68" i="65037"/>
  <c r="GN68" i="65037"/>
  <c r="GO68" i="65037" s="1"/>
  <c r="EB62" i="65037"/>
  <c r="GL62" i="65037"/>
  <c r="GN62" i="65037"/>
  <c r="GO62" i="65037" s="1"/>
  <c r="EB63" i="65037"/>
  <c r="GN63" i="65037"/>
  <c r="GO63" i="65037" s="1"/>
  <c r="GL63" i="65037"/>
  <c r="EB71" i="65037"/>
  <c r="GN71" i="65037"/>
  <c r="GO71" i="65037" s="1"/>
  <c r="GL71" i="65037"/>
  <c r="GN65" i="65037"/>
  <c r="GO65" i="65037" s="1"/>
  <c r="GL65" i="65037"/>
  <c r="EB65" i="65037"/>
  <c r="GN60" i="65037"/>
  <c r="GO60" i="65037" s="1"/>
  <c r="GL60" i="65037"/>
  <c r="EB60" i="65037"/>
  <c r="GN78" i="65037"/>
  <c r="GO78" i="65037" s="1"/>
  <c r="GL78" i="65037"/>
  <c r="EB78" i="65037"/>
  <c r="GN74" i="65037"/>
  <c r="GO74" i="65037" s="1"/>
  <c r="EB74" i="65037"/>
  <c r="GL74" i="65037"/>
  <c r="GN76" i="65037"/>
  <c r="GO76" i="65037" s="1"/>
  <c r="EB76" i="65037"/>
  <c r="GL76" i="65037"/>
  <c r="GL72" i="65037"/>
  <c r="GN72" i="65037"/>
  <c r="GO72" i="65037" s="1"/>
  <c r="EB72" i="65037"/>
  <c r="GN70" i="65037"/>
  <c r="GO70" i="65037" s="1"/>
  <c r="GL70" i="65037"/>
  <c r="EB70" i="65037"/>
  <c r="GN67" i="65037"/>
  <c r="GO67" i="65037" s="1"/>
  <c r="EB67" i="65037"/>
  <c r="GL67" i="65037"/>
  <c r="EB61" i="65037"/>
  <c r="GN61" i="65037"/>
  <c r="GO61" i="65037" s="1"/>
  <c r="GL61" i="65037"/>
  <c r="GL54" i="65037"/>
  <c r="GN54" i="65037"/>
  <c r="GO54" i="65037" s="1"/>
  <c r="EB54" i="65037"/>
  <c r="BB118" i="65037"/>
  <c r="BC117" i="65037"/>
  <c r="FB86" i="65037" a="1"/>
  <c r="FB86" i="65037" s="1"/>
  <c r="AU108" i="65037" s="1"/>
  <c r="DI30" i="65037"/>
  <c r="DI31" i="65037"/>
  <c r="DI27" i="65037"/>
  <c r="DI29" i="65037"/>
  <c r="AW107" i="65037"/>
  <c r="AY107" i="65037" s="1"/>
  <c r="AX107" i="65037" s="1"/>
  <c r="DI33" i="65037"/>
  <c r="DI43" i="65037"/>
  <c r="DI38" i="65037"/>
  <c r="DI45" i="65037"/>
  <c r="DI34" i="65037"/>
  <c r="DI26" i="65037"/>
  <c r="DI39" i="65037"/>
  <c r="DI25" i="65037"/>
  <c r="DI47" i="65037"/>
  <c r="DI41" i="65037"/>
  <c r="DI42" i="65037"/>
  <c r="AV107" i="65037"/>
  <c r="AT107" i="65037" s="1" a="1"/>
  <c r="AT107" i="65037" s="1"/>
  <c r="DI44" i="65037"/>
  <c r="DI32" i="65037"/>
  <c r="DI37" i="65037"/>
  <c r="DI28" i="65037"/>
  <c r="DI46" i="65037"/>
  <c r="DI40" i="65037"/>
  <c r="DI36" i="65037"/>
  <c r="DI35" i="65037"/>
  <c r="DI49" i="65037"/>
  <c r="DI48" i="65037"/>
  <c r="EZ87" i="65037"/>
  <c r="FA87" i="65037" s="1"/>
  <c r="FB87" i="65037" s="1" a="1"/>
  <c r="FB87" i="65037" s="1"/>
  <c r="EY88" i="65037"/>
  <c r="BZ93" i="65037"/>
  <c r="BX93" i="65037"/>
  <c r="BW93" i="65037"/>
  <c r="BY93" i="65037" s="1"/>
  <c r="AZ123" i="65037"/>
  <c r="BZ86" i="65037"/>
  <c r="BX86" i="65037" s="1"/>
  <c r="BK86" i="65037" s="1"/>
  <c r="BZ92" i="65037"/>
  <c r="BX92" i="65037"/>
  <c r="BW92" i="65037"/>
  <c r="BY92" i="65037" s="1"/>
  <c r="ED55" i="65037"/>
  <c r="GT55" i="65037"/>
  <c r="GV55" i="65037"/>
  <c r="GW55" i="65037" s="1"/>
  <c r="GR60" i="65037" l="1"/>
  <c r="GS60" i="65037" s="1"/>
  <c r="EC60" i="65037"/>
  <c r="GP60" i="65037"/>
  <c r="GP62" i="65037"/>
  <c r="EC62" i="65037"/>
  <c r="GR62" i="65037"/>
  <c r="GS62" i="65037" s="1"/>
  <c r="GP61" i="65037"/>
  <c r="EC61" i="65037"/>
  <c r="GR61" i="65037"/>
  <c r="GS61" i="65037" s="1"/>
  <c r="GR67" i="65037"/>
  <c r="GS67" i="65037" s="1"/>
  <c r="EC67" i="65037"/>
  <c r="GP67" i="65037"/>
  <c r="GP57" i="65037"/>
  <c r="GR57" i="65037"/>
  <c r="GS57" i="65037" s="1"/>
  <c r="EC57" i="65037"/>
  <c r="GR76" i="65037"/>
  <c r="GS76" i="65037" s="1"/>
  <c r="EC76" i="65037"/>
  <c r="GP76" i="65037"/>
  <c r="EC77" i="65037"/>
  <c r="GP77" i="65037"/>
  <c r="GR77" i="65037"/>
  <c r="GS77" i="65037" s="1"/>
  <c r="EC75" i="65037"/>
  <c r="GR75" i="65037"/>
  <c r="GS75" i="65037" s="1"/>
  <c r="GP75" i="65037"/>
  <c r="GR65" i="65037"/>
  <c r="GS65" i="65037" s="1"/>
  <c r="EC65" i="65037"/>
  <c r="GP65" i="65037"/>
  <c r="GP69" i="65037"/>
  <c r="EC69" i="65037"/>
  <c r="GR69" i="65037"/>
  <c r="GS69" i="65037" s="1"/>
  <c r="GP70" i="65037"/>
  <c r="EC70" i="65037"/>
  <c r="GR70" i="65037"/>
  <c r="GS70" i="65037" s="1"/>
  <c r="EC73" i="65037"/>
  <c r="GR73" i="65037"/>
  <c r="GS73" i="65037" s="1"/>
  <c r="GP73" i="65037"/>
  <c r="GR78" i="65037"/>
  <c r="GS78" i="65037" s="1"/>
  <c r="GP78" i="65037"/>
  <c r="EC78" i="65037"/>
  <c r="GR68" i="65037"/>
  <c r="GS68" i="65037" s="1"/>
  <c r="GP68" i="65037"/>
  <c r="EC68" i="65037"/>
  <c r="GR58" i="65037"/>
  <c r="GS58" i="65037" s="1"/>
  <c r="GP58" i="65037"/>
  <c r="EC58" i="65037"/>
  <c r="GR66" i="65037"/>
  <c r="GS66" i="65037" s="1"/>
  <c r="EC66" i="65037"/>
  <c r="GP66" i="65037"/>
  <c r="GP54" i="65037"/>
  <c r="EC54" i="65037"/>
  <c r="GR54" i="65037"/>
  <c r="GS54" i="65037" s="1"/>
  <c r="GR74" i="65037"/>
  <c r="GS74" i="65037" s="1"/>
  <c r="GP74" i="65037"/>
  <c r="EC74" i="65037"/>
  <c r="GP63" i="65037"/>
  <c r="EC63" i="65037"/>
  <c r="GR63" i="65037"/>
  <c r="GS63" i="65037" s="1"/>
  <c r="EC56" i="65037"/>
  <c r="GR56" i="65037"/>
  <c r="GS56" i="65037" s="1"/>
  <c r="GP56" i="65037"/>
  <c r="EC72" i="65037"/>
  <c r="GR72" i="65037"/>
  <c r="GS72" i="65037" s="1"/>
  <c r="GP72" i="65037"/>
  <c r="EC71" i="65037"/>
  <c r="GP71" i="65037"/>
  <c r="GR71" i="65037"/>
  <c r="GS71" i="65037" s="1"/>
  <c r="EC59" i="65037"/>
  <c r="GR59" i="65037"/>
  <c r="GS59" i="65037" s="1"/>
  <c r="GP59" i="65037"/>
  <c r="EC64" i="65037"/>
  <c r="GR64" i="65037"/>
  <c r="GS64" i="65037" s="1"/>
  <c r="GP64" i="65037"/>
  <c r="BB119" i="65037"/>
  <c r="BC118" i="65037"/>
  <c r="DJ43" i="65037"/>
  <c r="DB43" i="65037" s="1"/>
  <c r="DJ48" i="65037"/>
  <c r="DB48" i="65037" s="1"/>
  <c r="AV108" i="65037"/>
  <c r="AT108" i="65037" s="1" a="1"/>
  <c r="AT108" i="65037" s="1"/>
  <c r="DJ38" i="65037"/>
  <c r="DB38" i="65037" s="1"/>
  <c r="DJ32" i="65037"/>
  <c r="DB32" i="65037" s="1"/>
  <c r="AW108" i="65037"/>
  <c r="AY108" i="65037" s="1"/>
  <c r="AX108" i="65037" s="1"/>
  <c r="DJ31" i="65037"/>
  <c r="DB31" i="65037" s="1"/>
  <c r="DJ25" i="65037"/>
  <c r="DB25" i="65037" s="1"/>
  <c r="DJ27" i="65037"/>
  <c r="DB27" i="65037" s="1"/>
  <c r="DJ41" i="65037"/>
  <c r="DB41" i="65037" s="1"/>
  <c r="DJ37" i="65037"/>
  <c r="DB37" i="65037" s="1"/>
  <c r="DJ30" i="65037"/>
  <c r="DB30" i="65037" s="1"/>
  <c r="DJ29" i="65037"/>
  <c r="DB29" i="65037" s="1"/>
  <c r="DJ36" i="65037"/>
  <c r="DB36" i="65037" s="1"/>
  <c r="DJ26" i="65037"/>
  <c r="DB26" i="65037" s="1"/>
  <c r="DJ35" i="65037"/>
  <c r="DB35" i="65037" s="1"/>
  <c r="DJ44" i="65037"/>
  <c r="DB44" i="65037" s="1"/>
  <c r="DJ40" i="65037"/>
  <c r="DB40" i="65037" s="1"/>
  <c r="DJ47" i="65037"/>
  <c r="DB47" i="65037" s="1"/>
  <c r="DJ45" i="65037"/>
  <c r="DB45" i="65037" s="1"/>
  <c r="DJ49" i="65037"/>
  <c r="DB49" i="65037" s="1"/>
  <c r="DJ34" i="65037"/>
  <c r="DB34" i="65037" s="1"/>
  <c r="DJ28" i="65037"/>
  <c r="DB28" i="65037" s="1"/>
  <c r="DJ39" i="65037"/>
  <c r="DB39" i="65037" s="1"/>
  <c r="DJ33" i="65037"/>
  <c r="DB33" i="65037" s="1"/>
  <c r="DJ42" i="65037"/>
  <c r="DB42" i="65037" s="1"/>
  <c r="DJ46" i="65037"/>
  <c r="DB46" i="65037" s="1"/>
  <c r="EZ88" i="65037"/>
  <c r="FA88" i="65037" s="1"/>
  <c r="EY89" i="65037"/>
  <c r="EZ89" i="65037" s="1"/>
  <c r="FA89" i="65037" s="1"/>
  <c r="AU109" i="65037"/>
  <c r="BQ86" i="65037"/>
  <c r="BL86" i="65037" s="1"/>
  <c r="BM86" i="65037" s="1"/>
  <c r="BN86" i="65037" s="1"/>
  <c r="AZ124" i="65037"/>
  <c r="GX55" i="65037"/>
  <c r="EE55" i="65037"/>
  <c r="GZ55" i="65037"/>
  <c r="HA55" i="65037" s="1"/>
  <c r="ED72" i="65037" l="1"/>
  <c r="GT72" i="65037"/>
  <c r="GV72" i="65037"/>
  <c r="GW72" i="65037" s="1"/>
  <c r="GT75" i="65037"/>
  <c r="GV75" i="65037"/>
  <c r="GW75" i="65037" s="1"/>
  <c r="ED75" i="65037"/>
  <c r="GV66" i="65037"/>
  <c r="GW66" i="65037" s="1"/>
  <c r="GT66" i="65037"/>
  <c r="ED66" i="65037"/>
  <c r="GV69" i="65037"/>
  <c r="GW69" i="65037" s="1"/>
  <c r="GT69" i="65037"/>
  <c r="ED69" i="65037"/>
  <c r="ED57" i="65037"/>
  <c r="GT57" i="65037"/>
  <c r="GV57" i="65037"/>
  <c r="GW57" i="65037" s="1"/>
  <c r="GV62" i="65037"/>
  <c r="GW62" i="65037" s="1"/>
  <c r="ED62" i="65037"/>
  <c r="GT62" i="65037"/>
  <c r="GT59" i="65037"/>
  <c r="ED59" i="65037"/>
  <c r="GV59" i="65037"/>
  <c r="GW59" i="65037" s="1"/>
  <c r="GT78" i="65037"/>
  <c r="ED78" i="65037"/>
  <c r="GV78" i="65037"/>
  <c r="GW78" i="65037" s="1"/>
  <c r="ED77" i="65037"/>
  <c r="GV77" i="65037"/>
  <c r="GW77" i="65037" s="1"/>
  <c r="GT77" i="65037"/>
  <c r="GT56" i="65037"/>
  <c r="GV56" i="65037"/>
  <c r="GW56" i="65037" s="1"/>
  <c r="ED56" i="65037"/>
  <c r="GV74" i="65037"/>
  <c r="GW74" i="65037" s="1"/>
  <c r="ED74" i="65037"/>
  <c r="GT74" i="65037"/>
  <c r="GT71" i="65037"/>
  <c r="ED71" i="65037"/>
  <c r="GV71" i="65037"/>
  <c r="GW71" i="65037" s="1"/>
  <c r="GV54" i="65037"/>
  <c r="GW54" i="65037" s="1"/>
  <c r="GT54" i="65037"/>
  <c r="ED54" i="65037"/>
  <c r="ED58" i="65037"/>
  <c r="GV58" i="65037"/>
  <c r="GW58" i="65037" s="1"/>
  <c r="GT58" i="65037"/>
  <c r="GV73" i="65037"/>
  <c r="GW73" i="65037" s="1"/>
  <c r="GT73" i="65037"/>
  <c r="ED73" i="65037"/>
  <c r="GT67" i="65037"/>
  <c r="GV67" i="65037"/>
  <c r="GW67" i="65037" s="1"/>
  <c r="ED67" i="65037"/>
  <c r="ED63" i="65037"/>
  <c r="GV63" i="65037"/>
  <c r="GW63" i="65037" s="1"/>
  <c r="GT63" i="65037"/>
  <c r="GT70" i="65037"/>
  <c r="ED70" i="65037"/>
  <c r="GV70" i="65037"/>
  <c r="GW70" i="65037" s="1"/>
  <c r="GT65" i="65037"/>
  <c r="ED65" i="65037"/>
  <c r="GV65" i="65037"/>
  <c r="GW65" i="65037" s="1"/>
  <c r="GT61" i="65037"/>
  <c r="ED61" i="65037"/>
  <c r="GV61" i="65037"/>
  <c r="GW61" i="65037" s="1"/>
  <c r="ED60" i="65037"/>
  <c r="GV60" i="65037"/>
  <c r="GW60" i="65037" s="1"/>
  <c r="GT60" i="65037"/>
  <c r="GT64" i="65037"/>
  <c r="GV64" i="65037"/>
  <c r="GW64" i="65037" s="1"/>
  <c r="ED64" i="65037"/>
  <c r="GV68" i="65037"/>
  <c r="GW68" i="65037" s="1"/>
  <c r="ED68" i="65037"/>
  <c r="GT68" i="65037"/>
  <c r="GV76" i="65037"/>
  <c r="GW76" i="65037" s="1"/>
  <c r="ED76" i="65037"/>
  <c r="GT76" i="65037"/>
  <c r="BC119" i="65037"/>
  <c r="BB120" i="65037"/>
  <c r="FB89" i="65037" a="1"/>
  <c r="FB89" i="65037" s="1"/>
  <c r="AU111" i="65037" s="1"/>
  <c r="FB88" i="65037" a="1"/>
  <c r="FB88" i="65037" s="1"/>
  <c r="AU110" i="65037" s="1"/>
  <c r="DK46" i="65037"/>
  <c r="DK28" i="65037"/>
  <c r="DK40" i="65037"/>
  <c r="DK34" i="65037"/>
  <c r="DK41" i="65037"/>
  <c r="DK37" i="65037"/>
  <c r="DK26" i="65037"/>
  <c r="DK49" i="65037"/>
  <c r="DK42" i="65037"/>
  <c r="DK45" i="65037"/>
  <c r="DK27" i="65037"/>
  <c r="AV109" i="65037"/>
  <c r="AT109" i="65037" s="1" a="1"/>
  <c r="AT109" i="65037" s="1"/>
  <c r="DK31" i="65037"/>
  <c r="DK44" i="65037"/>
  <c r="DK33" i="65037"/>
  <c r="DK36" i="65037"/>
  <c r="DK39" i="65037"/>
  <c r="DK43" i="65037"/>
  <c r="DK47" i="65037"/>
  <c r="DK25" i="65037"/>
  <c r="AW109" i="65037"/>
  <c r="AY109" i="65037" s="1"/>
  <c r="AX109" i="65037" s="1"/>
  <c r="DK29" i="65037"/>
  <c r="DK38" i="65037"/>
  <c r="DK32" i="65037"/>
  <c r="DK30" i="65037"/>
  <c r="DK35" i="65037"/>
  <c r="DK48" i="65037"/>
  <c r="AW87" i="65037"/>
  <c r="BP87" i="65037"/>
  <c r="BO87" i="65037" s="1"/>
  <c r="HB55" i="65037"/>
  <c r="EF55" i="65037"/>
  <c r="HD55" i="65037"/>
  <c r="HE55" i="65037" s="1"/>
  <c r="EE67" i="65037" l="1"/>
  <c r="GZ67" i="65037"/>
  <c r="HA67" i="65037" s="1"/>
  <c r="GX67" i="65037"/>
  <c r="GZ74" i="65037"/>
  <c r="HA74" i="65037" s="1"/>
  <c r="EE74" i="65037"/>
  <c r="GX74" i="65037"/>
  <c r="GZ57" i="65037"/>
  <c r="HA57" i="65037" s="1"/>
  <c r="EE57" i="65037"/>
  <c r="GX57" i="65037"/>
  <c r="GZ66" i="65037"/>
  <c r="HA66" i="65037" s="1"/>
  <c r="EE66" i="65037"/>
  <c r="GX66" i="65037"/>
  <c r="GZ76" i="65037"/>
  <c r="HA76" i="65037" s="1"/>
  <c r="GX76" i="65037"/>
  <c r="EE76" i="65037"/>
  <c r="EE60" i="65037"/>
  <c r="GX60" i="65037"/>
  <c r="GZ60" i="65037"/>
  <c r="HA60" i="65037" s="1"/>
  <c r="GZ70" i="65037"/>
  <c r="HA70" i="65037" s="1"/>
  <c r="GX70" i="65037"/>
  <c r="EE70" i="65037"/>
  <c r="EE54" i="65037"/>
  <c r="GZ54" i="65037"/>
  <c r="HA54" i="65037" s="1"/>
  <c r="GX54" i="65037"/>
  <c r="GZ56" i="65037"/>
  <c r="HA56" i="65037" s="1"/>
  <c r="EE56" i="65037"/>
  <c r="GX56" i="65037"/>
  <c r="EE59" i="65037"/>
  <c r="GZ59" i="65037"/>
  <c r="HA59" i="65037" s="1"/>
  <c r="GX59" i="65037"/>
  <c r="EE75" i="65037"/>
  <c r="GZ75" i="65037"/>
  <c r="HA75" i="65037" s="1"/>
  <c r="GX75" i="65037"/>
  <c r="GZ61" i="65037"/>
  <c r="HA61" i="65037" s="1"/>
  <c r="GX61" i="65037"/>
  <c r="EE61" i="65037"/>
  <c r="GZ71" i="65037"/>
  <c r="HA71" i="65037" s="1"/>
  <c r="GX71" i="65037"/>
  <c r="EE71" i="65037"/>
  <c r="GZ68" i="65037"/>
  <c r="HA68" i="65037" s="1"/>
  <c r="GX68" i="65037"/>
  <c r="EE68" i="65037"/>
  <c r="GZ73" i="65037"/>
  <c r="HA73" i="65037" s="1"/>
  <c r="GX73" i="65037"/>
  <c r="EE73" i="65037"/>
  <c r="GX63" i="65037"/>
  <c r="EE63" i="65037"/>
  <c r="GZ63" i="65037"/>
  <c r="HA63" i="65037" s="1"/>
  <c r="GZ77" i="65037"/>
  <c r="HA77" i="65037" s="1"/>
  <c r="GX77" i="65037"/>
  <c r="EE77" i="65037"/>
  <c r="GX69" i="65037"/>
  <c r="GZ69" i="65037"/>
  <c r="HA69" i="65037" s="1"/>
  <c r="EE69" i="65037"/>
  <c r="GZ72" i="65037"/>
  <c r="HA72" i="65037" s="1"/>
  <c r="GX72" i="65037"/>
  <c r="EE72" i="65037"/>
  <c r="GZ64" i="65037"/>
  <c r="HA64" i="65037" s="1"/>
  <c r="GX64" i="65037"/>
  <c r="EE64" i="65037"/>
  <c r="GZ65" i="65037"/>
  <c r="HA65" i="65037" s="1"/>
  <c r="EE65" i="65037"/>
  <c r="GX65" i="65037"/>
  <c r="GX58" i="65037"/>
  <c r="GZ58" i="65037"/>
  <c r="HA58" i="65037" s="1"/>
  <c r="EE58" i="65037"/>
  <c r="EE78" i="65037"/>
  <c r="GZ78" i="65037"/>
  <c r="HA78" i="65037" s="1"/>
  <c r="GX78" i="65037"/>
  <c r="EE62" i="65037"/>
  <c r="GZ62" i="65037"/>
  <c r="HA62" i="65037" s="1"/>
  <c r="GX62" i="65037"/>
  <c r="BC120" i="65037"/>
  <c r="BB121" i="65037"/>
  <c r="CO31" i="65037"/>
  <c r="CO32" i="65037"/>
  <c r="CO25" i="65037"/>
  <c r="CO41" i="65037"/>
  <c r="CO43" i="65037"/>
  <c r="CO37" i="65037"/>
  <c r="CO29" i="65037"/>
  <c r="CO42" i="65037"/>
  <c r="CO35" i="65037"/>
  <c r="CO33" i="65037"/>
  <c r="CO40" i="65037"/>
  <c r="CO49" i="65037"/>
  <c r="CO34" i="65037"/>
  <c r="CO38" i="65037"/>
  <c r="CO48" i="65037"/>
  <c r="CO46" i="65037"/>
  <c r="CO36" i="65037"/>
  <c r="CO26" i="65037"/>
  <c r="CO30" i="65037"/>
  <c r="CO47" i="65037"/>
  <c r="CO45" i="65037"/>
  <c r="CO39" i="65037"/>
  <c r="CO28" i="65037"/>
  <c r="CO44" i="65037"/>
  <c r="DM30" i="65037"/>
  <c r="DM43" i="65037"/>
  <c r="DM34" i="65037"/>
  <c r="DM33" i="65037"/>
  <c r="DM47" i="65037"/>
  <c r="DM25" i="65037"/>
  <c r="AW111" i="65037"/>
  <c r="AY111" i="65037" s="1"/>
  <c r="AX111" i="65037" s="1"/>
  <c r="DM49" i="65037"/>
  <c r="DM29" i="65037"/>
  <c r="DM37" i="65037"/>
  <c r="DM44" i="65037"/>
  <c r="DM38" i="65037"/>
  <c r="DM45" i="65037"/>
  <c r="DM46" i="65037"/>
  <c r="DM26" i="65037"/>
  <c r="DM40" i="65037"/>
  <c r="DM41" i="65037"/>
  <c r="DM48" i="65037"/>
  <c r="DM28" i="65037"/>
  <c r="DM39" i="65037"/>
  <c r="DM35" i="65037"/>
  <c r="DM31" i="65037"/>
  <c r="DM42" i="65037"/>
  <c r="DM27" i="65037"/>
  <c r="DM32" i="65037"/>
  <c r="AV111" i="65037"/>
  <c r="AT111" i="65037" s="1" a="1"/>
  <c r="AT111" i="65037" s="1"/>
  <c r="DM36" i="65037"/>
  <c r="AW110" i="65037"/>
  <c r="AY110" i="65037" s="1"/>
  <c r="AX110" i="65037" s="1"/>
  <c r="DL48" i="65037"/>
  <c r="DL33" i="65037"/>
  <c r="DL47" i="65037"/>
  <c r="DL27" i="65037"/>
  <c r="DL26" i="65037"/>
  <c r="DL39" i="65037"/>
  <c r="AV110" i="65037"/>
  <c r="AT110" i="65037" s="1" a="1"/>
  <c r="AT110" i="65037" s="1"/>
  <c r="DL42" i="65037"/>
  <c r="DL34" i="65037"/>
  <c r="DL28" i="65037"/>
  <c r="DL31" i="65037"/>
  <c r="DL30" i="65037"/>
  <c r="DL43" i="65037"/>
  <c r="DL25" i="65037"/>
  <c r="DL37" i="65037"/>
  <c r="DL46" i="65037"/>
  <c r="DL45" i="65037"/>
  <c r="DL36" i="65037"/>
  <c r="DL38" i="65037"/>
  <c r="DL41" i="65037"/>
  <c r="DL35" i="65037"/>
  <c r="DL44" i="65037"/>
  <c r="DL49" i="65037"/>
  <c r="DL29" i="65037"/>
  <c r="DL40" i="65037"/>
  <c r="DL32" i="65037"/>
  <c r="CO27" i="65037"/>
  <c r="HF55" i="65037"/>
  <c r="EG55" i="65037"/>
  <c r="HH55" i="65037"/>
  <c r="HI55" i="65037" s="1"/>
  <c r="AV87" i="65037"/>
  <c r="BU87" i="65037" s="1"/>
  <c r="BW87" i="65037" s="1"/>
  <c r="BY87" i="65037" s="1"/>
  <c r="DC27" i="65037" l="1"/>
  <c r="DA27" i="65037" s="1"/>
  <c r="DC45" i="65037"/>
  <c r="DA45" i="65037" s="1"/>
  <c r="EF63" i="65037"/>
  <c r="HD63" i="65037"/>
  <c r="HE63" i="65037" s="1"/>
  <c r="HB63" i="65037"/>
  <c r="EF68" i="65037"/>
  <c r="HD68" i="65037"/>
  <c r="HE68" i="65037" s="1"/>
  <c r="HB68" i="65037"/>
  <c r="HD75" i="65037"/>
  <c r="HE75" i="65037" s="1"/>
  <c r="HB75" i="65037"/>
  <c r="EF75" i="65037"/>
  <c r="HD62" i="65037"/>
  <c r="HE62" i="65037" s="1"/>
  <c r="EF62" i="65037"/>
  <c r="HB62" i="65037"/>
  <c r="HB72" i="65037"/>
  <c r="EF72" i="65037"/>
  <c r="HD72" i="65037"/>
  <c r="HE72" i="65037" s="1"/>
  <c r="EF54" i="65037"/>
  <c r="HD54" i="65037"/>
  <c r="HE54" i="65037" s="1"/>
  <c r="HB54" i="65037"/>
  <c r="HD57" i="65037"/>
  <c r="HE57" i="65037" s="1"/>
  <c r="EF57" i="65037"/>
  <c r="HB57" i="65037"/>
  <c r="HD65" i="65037"/>
  <c r="HE65" i="65037" s="1"/>
  <c r="HB65" i="65037"/>
  <c r="EF65" i="65037"/>
  <c r="HB69" i="65037"/>
  <c r="EF69" i="65037"/>
  <c r="HD69" i="65037"/>
  <c r="HE69" i="65037" s="1"/>
  <c r="HB71" i="65037"/>
  <c r="EF71" i="65037"/>
  <c r="HD71" i="65037"/>
  <c r="HE71" i="65037" s="1"/>
  <c r="EF59" i="65037"/>
  <c r="HD59" i="65037"/>
  <c r="HE59" i="65037" s="1"/>
  <c r="HB59" i="65037"/>
  <c r="EF76" i="65037"/>
  <c r="HD76" i="65037"/>
  <c r="HE76" i="65037" s="1"/>
  <c r="HB76" i="65037"/>
  <c r="HD78" i="65037"/>
  <c r="HE78" i="65037" s="1"/>
  <c r="HB78" i="65037"/>
  <c r="EF78" i="65037"/>
  <c r="HB74" i="65037"/>
  <c r="HD74" i="65037"/>
  <c r="HE74" i="65037" s="1"/>
  <c r="EF74" i="65037"/>
  <c r="HB73" i="65037"/>
  <c r="HD73" i="65037"/>
  <c r="HE73" i="65037" s="1"/>
  <c r="EF73" i="65037"/>
  <c r="HB70" i="65037"/>
  <c r="EF70" i="65037"/>
  <c r="HD70" i="65037"/>
  <c r="HE70" i="65037" s="1"/>
  <c r="EF64" i="65037"/>
  <c r="HB64" i="65037"/>
  <c r="HD64" i="65037"/>
  <c r="HE64" i="65037" s="1"/>
  <c r="EF61" i="65037"/>
  <c r="HD61" i="65037"/>
  <c r="HE61" i="65037" s="1"/>
  <c r="HB61" i="65037"/>
  <c r="HD60" i="65037"/>
  <c r="HE60" i="65037" s="1"/>
  <c r="EF60" i="65037"/>
  <c r="HB60" i="65037"/>
  <c r="EF66" i="65037"/>
  <c r="HD66" i="65037"/>
  <c r="HE66" i="65037" s="1"/>
  <c r="HB66" i="65037"/>
  <c r="EF67" i="65037"/>
  <c r="HD67" i="65037"/>
  <c r="HE67" i="65037" s="1"/>
  <c r="HB67" i="65037"/>
  <c r="HD58" i="65037"/>
  <c r="HE58" i="65037" s="1"/>
  <c r="HB58" i="65037"/>
  <c r="EF58" i="65037"/>
  <c r="HB77" i="65037"/>
  <c r="EF77" i="65037"/>
  <c r="HD77" i="65037"/>
  <c r="HE77" i="65037" s="1"/>
  <c r="HB56" i="65037"/>
  <c r="HD56" i="65037"/>
  <c r="HE56" i="65037" s="1"/>
  <c r="EF56" i="65037"/>
  <c r="DC35" i="65037"/>
  <c r="DA35" i="65037" s="1"/>
  <c r="CZ35" i="65037" s="1"/>
  <c r="DC29" i="65037"/>
  <c r="DA29" i="65037" s="1"/>
  <c r="CZ29" i="65037" s="1"/>
  <c r="DC30" i="65037"/>
  <c r="DA30" i="65037" s="1"/>
  <c r="CZ30" i="65037" s="1"/>
  <c r="BB122" i="65037"/>
  <c r="BC121" i="65037"/>
  <c r="DC42" i="65037"/>
  <c r="DA42" i="65037" s="1"/>
  <c r="DC47" i="65037"/>
  <c r="DA47" i="65037" s="1"/>
  <c r="DC32" i="65037"/>
  <c r="DA32" i="65037" s="1"/>
  <c r="CZ32" i="65037" s="1"/>
  <c r="DC44" i="65037"/>
  <c r="DA44" i="65037" s="1"/>
  <c r="DC36" i="65037"/>
  <c r="DA36" i="65037" s="1"/>
  <c r="CZ36" i="65037" s="1"/>
  <c r="DC28" i="65037"/>
  <c r="DA28" i="65037" s="1"/>
  <c r="CZ28" i="65037" s="1"/>
  <c r="DC34" i="65037"/>
  <c r="DA34" i="65037" s="1"/>
  <c r="CZ34" i="65037" s="1"/>
  <c r="DC26" i="65037"/>
  <c r="DA26" i="65037" s="1"/>
  <c r="CZ26" i="65037" s="1"/>
  <c r="DC41" i="65037"/>
  <c r="DA41" i="65037" s="1"/>
  <c r="DC38" i="65037"/>
  <c r="DA38" i="65037" s="1"/>
  <c r="DC49" i="65037"/>
  <c r="DA49" i="65037" s="1"/>
  <c r="DC39" i="65037"/>
  <c r="DA39" i="65037" s="1"/>
  <c r="DC33" i="65037"/>
  <c r="DA33" i="65037" s="1"/>
  <c r="CZ33" i="65037" s="1"/>
  <c r="DC40" i="65037"/>
  <c r="DA40" i="65037" s="1"/>
  <c r="DC48" i="65037"/>
  <c r="DA48" i="65037" s="1"/>
  <c r="DC37" i="65037"/>
  <c r="DA37" i="65037" s="1"/>
  <c r="DC43" i="65037"/>
  <c r="DA43" i="65037" s="1"/>
  <c r="CO24" i="65037"/>
  <c r="CO23" i="65037" s="1"/>
  <c r="DC31" i="65037"/>
  <c r="DA31" i="65037" s="1"/>
  <c r="CZ31" i="65037" s="1"/>
  <c r="DC46" i="65037"/>
  <c r="DA46" i="65037" s="1"/>
  <c r="DC25" i="65037"/>
  <c r="DA25" i="65037" s="1"/>
  <c r="CZ25" i="65037" s="1"/>
  <c r="BZ87" i="65037"/>
  <c r="BX87" i="65037" s="1"/>
  <c r="BK87" i="65037" s="1"/>
  <c r="HJ55" i="65037"/>
  <c r="EH55" i="65037"/>
  <c r="HL55" i="65037"/>
  <c r="HM55" i="65037" s="1"/>
  <c r="HF58" i="65037" l="1"/>
  <c r="EG58" i="65037"/>
  <c r="HH58" i="65037"/>
  <c r="HI58" i="65037" s="1"/>
  <c r="HH70" i="65037"/>
  <c r="HI70" i="65037" s="1"/>
  <c r="HF70" i="65037"/>
  <c r="EG70" i="65037"/>
  <c r="HH59" i="65037"/>
  <c r="HI59" i="65037" s="1"/>
  <c r="EG59" i="65037"/>
  <c r="HF59" i="65037"/>
  <c r="EG56" i="65037"/>
  <c r="HH56" i="65037"/>
  <c r="HI56" i="65037" s="1"/>
  <c r="HF56" i="65037"/>
  <c r="HF60" i="65037"/>
  <c r="EG60" i="65037"/>
  <c r="HH60" i="65037"/>
  <c r="HI60" i="65037" s="1"/>
  <c r="HF72" i="65037"/>
  <c r="EG72" i="65037"/>
  <c r="HH72" i="65037"/>
  <c r="HI72" i="65037" s="1"/>
  <c r="HH75" i="65037"/>
  <c r="HI75" i="65037" s="1"/>
  <c r="HF75" i="65037"/>
  <c r="EG75" i="65037"/>
  <c r="EG67" i="65037"/>
  <c r="HF67" i="65037"/>
  <c r="HH67" i="65037"/>
  <c r="HI67" i="65037" s="1"/>
  <c r="EG71" i="65037"/>
  <c r="HF71" i="65037"/>
  <c r="HH71" i="65037"/>
  <c r="HI71" i="65037" s="1"/>
  <c r="EG65" i="65037"/>
  <c r="HF65" i="65037"/>
  <c r="HH65" i="65037"/>
  <c r="HI65" i="65037" s="1"/>
  <c r="EG77" i="65037"/>
  <c r="HF77" i="65037"/>
  <c r="HH77" i="65037"/>
  <c r="HI77" i="65037" s="1"/>
  <c r="HH61" i="65037"/>
  <c r="HI61" i="65037" s="1"/>
  <c r="HF61" i="65037"/>
  <c r="EG61" i="65037"/>
  <c r="EG78" i="65037"/>
  <c r="HF78" i="65037"/>
  <c r="HH78" i="65037"/>
  <c r="HI78" i="65037" s="1"/>
  <c r="EG68" i="65037"/>
  <c r="HF68" i="65037"/>
  <c r="HH68" i="65037"/>
  <c r="HI68" i="65037" s="1"/>
  <c r="EG73" i="65037"/>
  <c r="HF73" i="65037"/>
  <c r="HH73" i="65037"/>
  <c r="HI73" i="65037" s="1"/>
  <c r="HF66" i="65037"/>
  <c r="EG66" i="65037"/>
  <c r="HH66" i="65037"/>
  <c r="HI66" i="65037" s="1"/>
  <c r="HH64" i="65037"/>
  <c r="HI64" i="65037" s="1"/>
  <c r="EG64" i="65037"/>
  <c r="HF64" i="65037"/>
  <c r="EG76" i="65037"/>
  <c r="HF76" i="65037"/>
  <c r="HH76" i="65037"/>
  <c r="HI76" i="65037" s="1"/>
  <c r="HF69" i="65037"/>
  <c r="EG69" i="65037"/>
  <c r="HH69" i="65037"/>
  <c r="HI69" i="65037" s="1"/>
  <c r="HF57" i="65037"/>
  <c r="EG57" i="65037"/>
  <c r="HH57" i="65037"/>
  <c r="HI57" i="65037" s="1"/>
  <c r="HF62" i="65037"/>
  <c r="HH62" i="65037"/>
  <c r="HI62" i="65037" s="1"/>
  <c r="EG62" i="65037"/>
  <c r="EG63" i="65037"/>
  <c r="HF63" i="65037"/>
  <c r="HH63" i="65037"/>
  <c r="HI63" i="65037" s="1"/>
  <c r="HH74" i="65037"/>
  <c r="HI74" i="65037" s="1"/>
  <c r="EG74" i="65037"/>
  <c r="HF74" i="65037"/>
  <c r="EG54" i="65037"/>
  <c r="HF54" i="65037"/>
  <c r="HH54" i="65037"/>
  <c r="HI54" i="65037" s="1"/>
  <c r="BB123" i="65037"/>
  <c r="BC122" i="65037"/>
  <c r="BQ87" i="65037"/>
  <c r="BL87" i="65037" s="1"/>
  <c r="BM87" i="65037" s="1"/>
  <c r="BN87" i="65037" s="1"/>
  <c r="EI55" i="65037"/>
  <c r="HP55" i="65037"/>
  <c r="HQ55" i="65037" s="1"/>
  <c r="HN55" i="65037"/>
  <c r="EH54" i="65037" l="1"/>
  <c r="HJ54" i="65037"/>
  <c r="HL54" i="65037"/>
  <c r="HM54" i="65037" s="1"/>
  <c r="HL66" i="65037"/>
  <c r="HM66" i="65037" s="1"/>
  <c r="EH66" i="65037"/>
  <c r="HJ66" i="65037"/>
  <c r="HJ67" i="65037"/>
  <c r="HL67" i="65037"/>
  <c r="HM67" i="65037" s="1"/>
  <c r="EH67" i="65037"/>
  <c r="HL78" i="65037"/>
  <c r="HM78" i="65037" s="1"/>
  <c r="HJ78" i="65037"/>
  <c r="EH78" i="65037"/>
  <c r="EH60" i="65037"/>
  <c r="HL60" i="65037"/>
  <c r="HM60" i="65037" s="1"/>
  <c r="HJ60" i="65037"/>
  <c r="HJ59" i="65037"/>
  <c r="EH59" i="65037"/>
  <c r="HL59" i="65037"/>
  <c r="HM59" i="65037" s="1"/>
  <c r="EH62" i="65037"/>
  <c r="HJ62" i="65037"/>
  <c r="HL62" i="65037"/>
  <c r="HM62" i="65037" s="1"/>
  <c r="HJ76" i="65037"/>
  <c r="HL76" i="65037"/>
  <c r="HM76" i="65037" s="1"/>
  <c r="EH76" i="65037"/>
  <c r="HJ65" i="65037"/>
  <c r="EH65" i="65037"/>
  <c r="HL65" i="65037"/>
  <c r="HM65" i="65037" s="1"/>
  <c r="HJ73" i="65037"/>
  <c r="EH73" i="65037"/>
  <c r="HL73" i="65037"/>
  <c r="HM73" i="65037" s="1"/>
  <c r="EH57" i="65037"/>
  <c r="HL57" i="65037"/>
  <c r="HM57" i="65037" s="1"/>
  <c r="HJ57" i="65037"/>
  <c r="HJ70" i="65037"/>
  <c r="HL70" i="65037"/>
  <c r="HM70" i="65037" s="1"/>
  <c r="EH70" i="65037"/>
  <c r="HL74" i="65037"/>
  <c r="HM74" i="65037" s="1"/>
  <c r="EH74" i="65037"/>
  <c r="HJ74" i="65037"/>
  <c r="HL71" i="65037"/>
  <c r="HM71" i="65037" s="1"/>
  <c r="HJ71" i="65037"/>
  <c r="EH71" i="65037"/>
  <c r="HJ75" i="65037"/>
  <c r="HL75" i="65037"/>
  <c r="HM75" i="65037" s="1"/>
  <c r="EH75" i="65037"/>
  <c r="HJ56" i="65037"/>
  <c r="EH56" i="65037"/>
  <c r="HL56" i="65037"/>
  <c r="HM56" i="65037" s="1"/>
  <c r="HJ58" i="65037"/>
  <c r="HL58" i="65037"/>
  <c r="HM58" i="65037" s="1"/>
  <c r="EH58" i="65037"/>
  <c r="HL63" i="65037"/>
  <c r="HM63" i="65037" s="1"/>
  <c r="EH63" i="65037"/>
  <c r="HJ63" i="65037"/>
  <c r="HJ68" i="65037"/>
  <c r="HL68" i="65037"/>
  <c r="HM68" i="65037" s="1"/>
  <c r="EH68" i="65037"/>
  <c r="EH61" i="65037"/>
  <c r="HJ61" i="65037"/>
  <c r="HL61" i="65037"/>
  <c r="HM61" i="65037" s="1"/>
  <c r="HJ72" i="65037"/>
  <c r="EH72" i="65037"/>
  <c r="HL72" i="65037"/>
  <c r="HM72" i="65037" s="1"/>
  <c r="HJ69" i="65037"/>
  <c r="HL69" i="65037"/>
  <c r="HM69" i="65037" s="1"/>
  <c r="EH69" i="65037"/>
  <c r="HL64" i="65037"/>
  <c r="HM64" i="65037" s="1"/>
  <c r="EH64" i="65037"/>
  <c r="HJ64" i="65037"/>
  <c r="EH77" i="65037"/>
  <c r="HJ77" i="65037"/>
  <c r="HL77" i="65037"/>
  <c r="HM77" i="65037" s="1"/>
  <c r="BC123" i="65037"/>
  <c r="BB124" i="65037"/>
  <c r="BC124" i="65037" s="1"/>
  <c r="AW88" i="65037"/>
  <c r="BP88" i="65037"/>
  <c r="BO88" i="65037" s="1"/>
  <c r="EJ55" i="65037"/>
  <c r="HR55" i="65037"/>
  <c r="HT55" i="65037"/>
  <c r="HU55" i="65037" s="1"/>
  <c r="HP68" i="65037" l="1"/>
  <c r="HQ68" i="65037" s="1"/>
  <c r="EI68" i="65037"/>
  <c r="HN68" i="65037"/>
  <c r="HN56" i="65037"/>
  <c r="HP56" i="65037"/>
  <c r="HQ56" i="65037" s="1"/>
  <c r="EI56" i="65037"/>
  <c r="EI71" i="65037"/>
  <c r="HP71" i="65037"/>
  <c r="HQ71" i="65037" s="1"/>
  <c r="HN71" i="65037"/>
  <c r="HN57" i="65037"/>
  <c r="EI57" i="65037"/>
  <c r="HP57" i="65037"/>
  <c r="HQ57" i="65037" s="1"/>
  <c r="HN67" i="65037"/>
  <c r="EI67" i="65037"/>
  <c r="HP67" i="65037"/>
  <c r="HQ67" i="65037" s="1"/>
  <c r="HN76" i="65037"/>
  <c r="HP76" i="65037"/>
  <c r="HQ76" i="65037" s="1"/>
  <c r="EI76" i="65037"/>
  <c r="HP72" i="65037"/>
  <c r="HQ72" i="65037" s="1"/>
  <c r="HN72" i="65037"/>
  <c r="EI72" i="65037"/>
  <c r="HP73" i="65037"/>
  <c r="HQ73" i="65037" s="1"/>
  <c r="HN73" i="65037"/>
  <c r="EI73" i="65037"/>
  <c r="HN60" i="65037"/>
  <c r="HP60" i="65037"/>
  <c r="HQ60" i="65037" s="1"/>
  <c r="EI60" i="65037"/>
  <c r="EI74" i="65037"/>
  <c r="HP74" i="65037"/>
  <c r="HQ74" i="65037" s="1"/>
  <c r="HN74" i="65037"/>
  <c r="EI62" i="65037"/>
  <c r="HN62" i="65037"/>
  <c r="HP62" i="65037"/>
  <c r="HQ62" i="65037" s="1"/>
  <c r="HP61" i="65037"/>
  <c r="HQ61" i="65037" s="1"/>
  <c r="HN61" i="65037"/>
  <c r="EI61" i="65037"/>
  <c r="HN63" i="65037"/>
  <c r="EI63" i="65037"/>
  <c r="HP63" i="65037"/>
  <c r="HQ63" i="65037" s="1"/>
  <c r="HP75" i="65037"/>
  <c r="HQ75" i="65037" s="1"/>
  <c r="EI75" i="65037"/>
  <c r="HN75" i="65037"/>
  <c r="HP66" i="65037"/>
  <c r="HQ66" i="65037" s="1"/>
  <c r="HN66" i="65037"/>
  <c r="EI66" i="65037"/>
  <c r="HN70" i="65037"/>
  <c r="EI70" i="65037"/>
  <c r="HP70" i="65037"/>
  <c r="HQ70" i="65037" s="1"/>
  <c r="HN65" i="65037"/>
  <c r="EI65" i="65037"/>
  <c r="HP65" i="65037"/>
  <c r="HQ65" i="65037" s="1"/>
  <c r="EI54" i="65037"/>
  <c r="HN54" i="65037"/>
  <c r="HP54" i="65037"/>
  <c r="HQ54" i="65037" s="1"/>
  <c r="EI77" i="65037"/>
  <c r="HN77" i="65037"/>
  <c r="HP77" i="65037"/>
  <c r="HQ77" i="65037" s="1"/>
  <c r="HP58" i="65037"/>
  <c r="HQ58" i="65037" s="1"/>
  <c r="EI58" i="65037"/>
  <c r="HN58" i="65037"/>
  <c r="EI59" i="65037"/>
  <c r="HP59" i="65037"/>
  <c r="HQ59" i="65037" s="1"/>
  <c r="HN59" i="65037"/>
  <c r="EI78" i="65037"/>
  <c r="HP78" i="65037"/>
  <c r="HQ78" i="65037" s="1"/>
  <c r="HN78" i="65037"/>
  <c r="HP64" i="65037"/>
  <c r="HQ64" i="65037" s="1"/>
  <c r="HN64" i="65037"/>
  <c r="EI64" i="65037"/>
  <c r="HP69" i="65037"/>
  <c r="HQ69" i="65037" s="1"/>
  <c r="EI69" i="65037"/>
  <c r="HN69" i="65037"/>
  <c r="EK55" i="65037"/>
  <c r="HV55" i="65037"/>
  <c r="HX55" i="65037"/>
  <c r="HY55" i="65037" s="1"/>
  <c r="AV88" i="65037"/>
  <c r="BU88" i="65037" s="1"/>
  <c r="BW88" i="65037" s="1"/>
  <c r="BY88" i="65037" s="1"/>
  <c r="HT70" i="65037" l="1"/>
  <c r="HU70" i="65037" s="1"/>
  <c r="HR70" i="65037"/>
  <c r="EJ70" i="65037"/>
  <c r="HR75" i="65037"/>
  <c r="EJ75" i="65037"/>
  <c r="HT75" i="65037"/>
  <c r="HU75" i="65037" s="1"/>
  <c r="EJ71" i="65037"/>
  <c r="HT71" i="65037"/>
  <c r="HU71" i="65037" s="1"/>
  <c r="HR71" i="65037"/>
  <c r="EJ63" i="65037"/>
  <c r="HT63" i="65037"/>
  <c r="HU63" i="65037" s="1"/>
  <c r="HR63" i="65037"/>
  <c r="HT67" i="65037"/>
  <c r="HU67" i="65037" s="1"/>
  <c r="EJ67" i="65037"/>
  <c r="HR67" i="65037"/>
  <c r="HR59" i="65037"/>
  <c r="EJ59" i="65037"/>
  <c r="HT59" i="65037"/>
  <c r="HU59" i="65037" s="1"/>
  <c r="EJ54" i="65037"/>
  <c r="HR54" i="65037"/>
  <c r="HT54" i="65037"/>
  <c r="HU54" i="65037" s="1"/>
  <c r="EJ73" i="65037"/>
  <c r="HT73" i="65037"/>
  <c r="HU73" i="65037" s="1"/>
  <c r="HR73" i="65037"/>
  <c r="EJ69" i="65037"/>
  <c r="HT69" i="65037"/>
  <c r="HU69" i="65037" s="1"/>
  <c r="HR69" i="65037"/>
  <c r="HT74" i="65037"/>
  <c r="HU74" i="65037" s="1"/>
  <c r="HR74" i="65037"/>
  <c r="EJ74" i="65037"/>
  <c r="EJ56" i="65037"/>
  <c r="HT56" i="65037"/>
  <c r="HU56" i="65037" s="1"/>
  <c r="HR56" i="65037"/>
  <c r="HT57" i="65037"/>
  <c r="HU57" i="65037" s="1"/>
  <c r="HR57" i="65037"/>
  <c r="EJ57" i="65037"/>
  <c r="EJ78" i="65037"/>
  <c r="HT78" i="65037"/>
  <c r="HU78" i="65037" s="1"/>
  <c r="HR78" i="65037"/>
  <c r="HR64" i="65037"/>
  <c r="HT64" i="65037"/>
  <c r="HU64" i="65037" s="1"/>
  <c r="EJ64" i="65037"/>
  <c r="HT65" i="65037"/>
  <c r="HU65" i="65037" s="1"/>
  <c r="HR65" i="65037"/>
  <c r="EJ65" i="65037"/>
  <c r="HT66" i="65037"/>
  <c r="HU66" i="65037" s="1"/>
  <c r="EJ66" i="65037"/>
  <c r="HR66" i="65037"/>
  <c r="EJ72" i="65037"/>
  <c r="HR72" i="65037"/>
  <c r="HT72" i="65037"/>
  <c r="HU72" i="65037" s="1"/>
  <c r="HT58" i="65037"/>
  <c r="HU58" i="65037" s="1"/>
  <c r="HR58" i="65037"/>
  <c r="EJ58" i="65037"/>
  <c r="HT61" i="65037"/>
  <c r="HU61" i="65037" s="1"/>
  <c r="HR61" i="65037"/>
  <c r="EJ61" i="65037"/>
  <c r="HT60" i="65037"/>
  <c r="HU60" i="65037" s="1"/>
  <c r="HR60" i="65037"/>
  <c r="EJ60" i="65037"/>
  <c r="HT77" i="65037"/>
  <c r="HU77" i="65037" s="1"/>
  <c r="EJ77" i="65037"/>
  <c r="HR77" i="65037"/>
  <c r="HT62" i="65037"/>
  <c r="HU62" i="65037" s="1"/>
  <c r="HR62" i="65037"/>
  <c r="EJ62" i="65037"/>
  <c r="HT76" i="65037"/>
  <c r="HU76" i="65037" s="1"/>
  <c r="HR76" i="65037"/>
  <c r="EJ76" i="65037"/>
  <c r="EJ68" i="65037"/>
  <c r="HT68" i="65037"/>
  <c r="HU68" i="65037" s="1"/>
  <c r="HR68" i="65037"/>
  <c r="BZ88" i="65037"/>
  <c r="BX88" i="65037" s="1"/>
  <c r="BK88" i="65037" s="1"/>
  <c r="EL55" i="65037"/>
  <c r="HZ55" i="65037"/>
  <c r="IB55" i="65037"/>
  <c r="IC55" i="65037" s="1"/>
  <c r="EK62" i="65037" l="1"/>
  <c r="HX62" i="65037"/>
  <c r="HY62" i="65037" s="1"/>
  <c r="HV62" i="65037"/>
  <c r="EK56" i="65037"/>
  <c r="HV56" i="65037"/>
  <c r="HX56" i="65037"/>
  <c r="HY56" i="65037" s="1"/>
  <c r="EK71" i="65037"/>
  <c r="HV71" i="65037"/>
  <c r="HX71" i="65037"/>
  <c r="HY71" i="65037" s="1"/>
  <c r="HX61" i="65037"/>
  <c r="HY61" i="65037" s="1"/>
  <c r="HV61" i="65037"/>
  <c r="EK61" i="65037"/>
  <c r="HV73" i="65037"/>
  <c r="HX73" i="65037"/>
  <c r="HY73" i="65037" s="1"/>
  <c r="EK73" i="65037"/>
  <c r="EK66" i="65037"/>
  <c r="HX66" i="65037"/>
  <c r="HY66" i="65037" s="1"/>
  <c r="HV66" i="65037"/>
  <c r="HV78" i="65037"/>
  <c r="HX78" i="65037"/>
  <c r="HY78" i="65037" s="1"/>
  <c r="EK78" i="65037"/>
  <c r="EK75" i="65037"/>
  <c r="HV75" i="65037"/>
  <c r="HX75" i="65037"/>
  <c r="HY75" i="65037" s="1"/>
  <c r="EK68" i="65037"/>
  <c r="HX68" i="65037"/>
  <c r="HY68" i="65037" s="1"/>
  <c r="HV68" i="65037"/>
  <c r="EK77" i="65037"/>
  <c r="HV77" i="65037"/>
  <c r="HX77" i="65037"/>
  <c r="HY77" i="65037" s="1"/>
  <c r="HX54" i="65037"/>
  <c r="HY54" i="65037" s="1"/>
  <c r="EK54" i="65037"/>
  <c r="HV54" i="65037"/>
  <c r="HX67" i="65037"/>
  <c r="HY67" i="65037" s="1"/>
  <c r="EK67" i="65037"/>
  <c r="HV67" i="65037"/>
  <c r="EK58" i="65037"/>
  <c r="HX58" i="65037"/>
  <c r="HY58" i="65037" s="1"/>
  <c r="HV58" i="65037"/>
  <c r="HX74" i="65037"/>
  <c r="HY74" i="65037" s="1"/>
  <c r="EK74" i="65037"/>
  <c r="HV74" i="65037"/>
  <c r="HV72" i="65037"/>
  <c r="HX72" i="65037"/>
  <c r="HY72" i="65037" s="1"/>
  <c r="EK72" i="65037"/>
  <c r="HV65" i="65037"/>
  <c r="EK65" i="65037"/>
  <c r="HX65" i="65037"/>
  <c r="HY65" i="65037" s="1"/>
  <c r="EK63" i="65037"/>
  <c r="HX63" i="65037"/>
  <c r="HY63" i="65037" s="1"/>
  <c r="HV63" i="65037"/>
  <c r="HV76" i="65037"/>
  <c r="EK76" i="65037"/>
  <c r="HX76" i="65037"/>
  <c r="HY76" i="65037" s="1"/>
  <c r="HX60" i="65037"/>
  <c r="HY60" i="65037" s="1"/>
  <c r="EK60" i="65037"/>
  <c r="HV60" i="65037"/>
  <c r="EK57" i="65037"/>
  <c r="HX57" i="65037"/>
  <c r="HY57" i="65037" s="1"/>
  <c r="HV57" i="65037"/>
  <c r="HX69" i="65037"/>
  <c r="HY69" i="65037" s="1"/>
  <c r="HV69" i="65037"/>
  <c r="EK69" i="65037"/>
  <c r="EK59" i="65037"/>
  <c r="HV59" i="65037"/>
  <c r="HX59" i="65037"/>
  <c r="HY59" i="65037" s="1"/>
  <c r="HX64" i="65037"/>
  <c r="HY64" i="65037" s="1"/>
  <c r="HV64" i="65037"/>
  <c r="EK64" i="65037"/>
  <c r="HV70" i="65037"/>
  <c r="HX70" i="65037"/>
  <c r="HY70" i="65037" s="1"/>
  <c r="EK70" i="65037"/>
  <c r="ID55" i="65037"/>
  <c r="EM55" i="65037"/>
  <c r="IF55" i="65037"/>
  <c r="IG55" i="65037" s="1"/>
  <c r="BQ88" i="65037"/>
  <c r="BL88" i="65037" s="1"/>
  <c r="BM88" i="65037" s="1"/>
  <c r="BN88" i="65037" s="1"/>
  <c r="HZ64" i="65037" l="1"/>
  <c r="IB64" i="65037"/>
  <c r="IC64" i="65037" s="1"/>
  <c r="EL64" i="65037"/>
  <c r="EL63" i="65037"/>
  <c r="HZ63" i="65037"/>
  <c r="IB63" i="65037"/>
  <c r="IC63" i="65037" s="1"/>
  <c r="HZ65" i="65037"/>
  <c r="EL65" i="65037"/>
  <c r="IB65" i="65037"/>
  <c r="IC65" i="65037" s="1"/>
  <c r="HZ74" i="65037"/>
  <c r="IB74" i="65037"/>
  <c r="IC74" i="65037" s="1"/>
  <c r="EL74" i="65037"/>
  <c r="IB75" i="65037"/>
  <c r="IC75" i="65037" s="1"/>
  <c r="HZ75" i="65037"/>
  <c r="EL75" i="65037"/>
  <c r="EL70" i="65037"/>
  <c r="IB70" i="65037"/>
  <c r="IC70" i="65037" s="1"/>
  <c r="HZ70" i="65037"/>
  <c r="EL60" i="65037"/>
  <c r="IB60" i="65037"/>
  <c r="IC60" i="65037" s="1"/>
  <c r="HZ60" i="65037"/>
  <c r="HZ54" i="65037"/>
  <c r="IB54" i="65037"/>
  <c r="IC54" i="65037" s="1"/>
  <c r="EL54" i="65037"/>
  <c r="EL58" i="65037"/>
  <c r="IB58" i="65037"/>
  <c r="IC58" i="65037" s="1"/>
  <c r="HZ58" i="65037"/>
  <c r="IB77" i="65037"/>
  <c r="IC77" i="65037" s="1"/>
  <c r="EL77" i="65037"/>
  <c r="HZ77" i="65037"/>
  <c r="HZ73" i="65037"/>
  <c r="EL73" i="65037"/>
  <c r="IB73" i="65037"/>
  <c r="IC73" i="65037" s="1"/>
  <c r="IB56" i="65037"/>
  <c r="IC56" i="65037" s="1"/>
  <c r="HZ56" i="65037"/>
  <c r="EL56" i="65037"/>
  <c r="IB76" i="65037"/>
  <c r="IC76" i="65037" s="1"/>
  <c r="EL76" i="65037"/>
  <c r="HZ76" i="65037"/>
  <c r="EL69" i="65037"/>
  <c r="IB69" i="65037"/>
  <c r="IC69" i="65037" s="1"/>
  <c r="HZ69" i="65037"/>
  <c r="IB72" i="65037"/>
  <c r="IC72" i="65037" s="1"/>
  <c r="EL72" i="65037"/>
  <c r="HZ72" i="65037"/>
  <c r="HZ78" i="65037"/>
  <c r="IB78" i="65037"/>
  <c r="IC78" i="65037" s="1"/>
  <c r="EL78" i="65037"/>
  <c r="HZ59" i="65037"/>
  <c r="EL59" i="65037"/>
  <c r="IB59" i="65037"/>
  <c r="IC59" i="65037" s="1"/>
  <c r="HZ67" i="65037"/>
  <c r="IB67" i="65037"/>
  <c r="IC67" i="65037" s="1"/>
  <c r="EL67" i="65037"/>
  <c r="EL68" i="65037"/>
  <c r="HZ68" i="65037"/>
  <c r="IB68" i="65037"/>
  <c r="IC68" i="65037" s="1"/>
  <c r="HZ61" i="65037"/>
  <c r="EL61" i="65037"/>
  <c r="IB61" i="65037"/>
  <c r="IC61" i="65037" s="1"/>
  <c r="EL62" i="65037"/>
  <c r="HZ62" i="65037"/>
  <c r="IB62" i="65037"/>
  <c r="IC62" i="65037" s="1"/>
  <c r="IB57" i="65037"/>
  <c r="IC57" i="65037" s="1"/>
  <c r="HZ57" i="65037"/>
  <c r="EL57" i="65037"/>
  <c r="HZ66" i="65037"/>
  <c r="EL66" i="65037"/>
  <c r="IB66" i="65037"/>
  <c r="IC66" i="65037" s="1"/>
  <c r="EL71" i="65037"/>
  <c r="IB71" i="65037"/>
  <c r="IC71" i="65037" s="1"/>
  <c r="HZ71" i="65037"/>
  <c r="BP89" i="65037"/>
  <c r="BO89" i="65037" s="1"/>
  <c r="AW89" i="65037"/>
  <c r="Q29" i="65037" s="1"/>
  <c r="IH55" i="65037"/>
  <c r="EN55" i="65037"/>
  <c r="IJ55" i="65037"/>
  <c r="IK55" i="65037" s="1"/>
  <c r="ES58" i="65037" l="1"/>
  <c r="FE58" i="65037"/>
  <c r="EM68" i="65037"/>
  <c r="IF68" i="65037"/>
  <c r="IG68" i="65037" s="1"/>
  <c r="ID68" i="65037"/>
  <c r="IF57" i="65037"/>
  <c r="IG57" i="65037" s="1"/>
  <c r="ID57" i="65037"/>
  <c r="EM57" i="65037"/>
  <c r="ID78" i="65037"/>
  <c r="IF78" i="65037"/>
  <c r="IG78" i="65037" s="1"/>
  <c r="EM78" i="65037"/>
  <c r="EM54" i="65037"/>
  <c r="ID54" i="65037"/>
  <c r="IF54" i="65037"/>
  <c r="IG54" i="65037" s="1"/>
  <c r="EM62" i="65037"/>
  <c r="IF62" i="65037"/>
  <c r="IG62" i="65037" s="1"/>
  <c r="ID62" i="65037"/>
  <c r="ID63" i="65037"/>
  <c r="IF63" i="65037"/>
  <c r="IG63" i="65037" s="1"/>
  <c r="EM63" i="65037"/>
  <c r="EM67" i="65037"/>
  <c r="IF67" i="65037"/>
  <c r="IG67" i="65037" s="1"/>
  <c r="ID67" i="65037"/>
  <c r="ID76" i="65037"/>
  <c r="EM76" i="65037"/>
  <c r="IF76" i="65037"/>
  <c r="IG76" i="65037" s="1"/>
  <c r="IF75" i="65037"/>
  <c r="IG75" i="65037" s="1"/>
  <c r="ID75" i="65037"/>
  <c r="EM75" i="65037"/>
  <c r="IF71" i="65037"/>
  <c r="IG71" i="65037" s="1"/>
  <c r="ID71" i="65037"/>
  <c r="EM71" i="65037"/>
  <c r="ID66" i="65037"/>
  <c r="IF66" i="65037"/>
  <c r="IG66" i="65037" s="1"/>
  <c r="EM66" i="65037"/>
  <c r="ID61" i="65037"/>
  <c r="IF61" i="65037"/>
  <c r="IG61" i="65037" s="1"/>
  <c r="EM61" i="65037"/>
  <c r="ID77" i="65037"/>
  <c r="IF77" i="65037"/>
  <c r="IG77" i="65037" s="1"/>
  <c r="EM77" i="65037"/>
  <c r="IF60" i="65037"/>
  <c r="IG60" i="65037" s="1"/>
  <c r="ID60" i="65037"/>
  <c r="EM60" i="65037"/>
  <c r="EM59" i="65037"/>
  <c r="ID59" i="65037"/>
  <c r="IF59" i="65037"/>
  <c r="IG59" i="65037" s="1"/>
  <c r="IF72" i="65037"/>
  <c r="IG72" i="65037" s="1"/>
  <c r="ID72" i="65037"/>
  <c r="EM72" i="65037"/>
  <c r="ID74" i="65037"/>
  <c r="IF74" i="65037"/>
  <c r="IG74" i="65037" s="1"/>
  <c r="EM74" i="65037"/>
  <c r="IF56" i="65037"/>
  <c r="IG56" i="65037" s="1"/>
  <c r="ID56" i="65037"/>
  <c r="EM56" i="65037"/>
  <c r="EM58" i="65037"/>
  <c r="ID58" i="65037"/>
  <c r="IF58" i="65037"/>
  <c r="IG58" i="65037" s="1"/>
  <c r="EM64" i="65037"/>
  <c r="ID64" i="65037"/>
  <c r="IF64" i="65037"/>
  <c r="IG64" i="65037" s="1"/>
  <c r="EM69" i="65037"/>
  <c r="IF69" i="65037"/>
  <c r="IG69" i="65037" s="1"/>
  <c r="ID69" i="65037"/>
  <c r="ID73" i="65037"/>
  <c r="EM73" i="65037"/>
  <c r="IF73" i="65037"/>
  <c r="IG73" i="65037" s="1"/>
  <c r="EM70" i="65037"/>
  <c r="IF70" i="65037"/>
  <c r="IG70" i="65037" s="1"/>
  <c r="ID70" i="65037"/>
  <c r="ID65" i="65037"/>
  <c r="IF65" i="65037"/>
  <c r="IG65" i="65037" s="1"/>
  <c r="EM65" i="65037"/>
  <c r="IL55" i="65037"/>
  <c r="EO55" i="65037"/>
  <c r="IN55" i="65037"/>
  <c r="IO55" i="65037" s="1"/>
  <c r="AV89" i="65037"/>
  <c r="BU89" i="65037" s="1"/>
  <c r="BW89" i="65037" s="1"/>
  <c r="BY89" i="65037" s="1"/>
  <c r="EN60" i="65037" l="1"/>
  <c r="IJ60" i="65037"/>
  <c r="IK60" i="65037" s="1"/>
  <c r="IH60" i="65037"/>
  <c r="EN66" i="65037"/>
  <c r="IJ66" i="65037"/>
  <c r="IK66" i="65037" s="1"/>
  <c r="IH66" i="65037"/>
  <c r="EN76" i="65037"/>
  <c r="IH76" i="65037"/>
  <c r="IJ76" i="65037"/>
  <c r="IK76" i="65037" s="1"/>
  <c r="IJ78" i="65037"/>
  <c r="IK78" i="65037" s="1"/>
  <c r="IH78" i="65037"/>
  <c r="EN78" i="65037"/>
  <c r="EN69" i="65037"/>
  <c r="IJ69" i="65037"/>
  <c r="IK69" i="65037" s="1"/>
  <c r="IH69" i="65037"/>
  <c r="IH72" i="65037"/>
  <c r="IJ72" i="65037"/>
  <c r="IK72" i="65037" s="1"/>
  <c r="EN72" i="65037"/>
  <c r="EN77" i="65037"/>
  <c r="IH77" i="65037"/>
  <c r="IJ77" i="65037"/>
  <c r="IK77" i="65037" s="1"/>
  <c r="EN62" i="65037"/>
  <c r="IJ62" i="65037"/>
  <c r="IK62" i="65037" s="1"/>
  <c r="IH62" i="65037"/>
  <c r="IJ59" i="65037"/>
  <c r="IK59" i="65037" s="1"/>
  <c r="IH59" i="65037"/>
  <c r="EN59" i="65037"/>
  <c r="EN56" i="65037"/>
  <c r="IJ56" i="65037"/>
  <c r="IK56" i="65037" s="1"/>
  <c r="IH56" i="65037"/>
  <c r="IH71" i="65037"/>
  <c r="EN71" i="65037"/>
  <c r="IJ71" i="65037"/>
  <c r="IK71" i="65037" s="1"/>
  <c r="IH67" i="65037"/>
  <c r="EN67" i="65037"/>
  <c r="IJ67" i="65037"/>
  <c r="IK67" i="65037" s="1"/>
  <c r="EN54" i="65037"/>
  <c r="IH54" i="65037"/>
  <c r="IJ54" i="65037"/>
  <c r="IK54" i="65037" s="1"/>
  <c r="IH57" i="65037"/>
  <c r="IJ57" i="65037"/>
  <c r="IK57" i="65037" s="1"/>
  <c r="EN57" i="65037"/>
  <c r="EN65" i="65037"/>
  <c r="IH65" i="65037"/>
  <c r="IJ65" i="65037"/>
  <c r="IK65" i="65037" s="1"/>
  <c r="IH64" i="65037"/>
  <c r="IJ64" i="65037"/>
  <c r="IK64" i="65037" s="1"/>
  <c r="EN64" i="65037"/>
  <c r="IH61" i="65037"/>
  <c r="IJ61" i="65037"/>
  <c r="IK61" i="65037" s="1"/>
  <c r="EN61" i="65037"/>
  <c r="IJ73" i="65037"/>
  <c r="IK73" i="65037" s="1"/>
  <c r="IH73" i="65037"/>
  <c r="EN73" i="65037"/>
  <c r="IJ74" i="65037"/>
  <c r="IK74" i="65037" s="1"/>
  <c r="IH74" i="65037"/>
  <c r="EN74" i="65037"/>
  <c r="EN68" i="65037"/>
  <c r="IJ68" i="65037"/>
  <c r="IK68" i="65037" s="1"/>
  <c r="IH68" i="65037"/>
  <c r="IH70" i="65037"/>
  <c r="EN70" i="65037"/>
  <c r="IJ70" i="65037"/>
  <c r="IK70" i="65037" s="1"/>
  <c r="IH58" i="65037"/>
  <c r="EN58" i="65037"/>
  <c r="IJ58" i="65037"/>
  <c r="IK58" i="65037" s="1"/>
  <c r="EN75" i="65037"/>
  <c r="IH75" i="65037"/>
  <c r="IJ75" i="65037"/>
  <c r="IK75" i="65037" s="1"/>
  <c r="IJ63" i="65037"/>
  <c r="IK63" i="65037" s="1"/>
  <c r="IH63" i="65037"/>
  <c r="EN63" i="65037"/>
  <c r="BZ89" i="65037"/>
  <c r="BX89" i="65037" s="1"/>
  <c r="BK89" i="65037" s="1"/>
  <c r="EP55" i="65037"/>
  <c r="IR55" i="65037"/>
  <c r="IS55" i="65037" s="1"/>
  <c r="IP55" i="65037"/>
  <c r="IN74" i="65037" l="1"/>
  <c r="IO74" i="65037" s="1"/>
  <c r="EO74" i="65037"/>
  <c r="IL74" i="65037"/>
  <c r="IL64" i="65037"/>
  <c r="EO64" i="65037"/>
  <c r="IN64" i="65037"/>
  <c r="IO64" i="65037" s="1"/>
  <c r="IL54" i="65037"/>
  <c r="IN54" i="65037"/>
  <c r="IO54" i="65037" s="1"/>
  <c r="EO54" i="65037"/>
  <c r="IN62" i="65037"/>
  <c r="IO62" i="65037" s="1"/>
  <c r="IL62" i="65037"/>
  <c r="EO62" i="65037"/>
  <c r="EO63" i="65037"/>
  <c r="IN63" i="65037"/>
  <c r="IO63" i="65037" s="1"/>
  <c r="IL63" i="65037"/>
  <c r="IN69" i="65037"/>
  <c r="IO69" i="65037" s="1"/>
  <c r="IL69" i="65037"/>
  <c r="EO69" i="65037"/>
  <c r="EO70" i="65037"/>
  <c r="IL70" i="65037"/>
  <c r="IN70" i="65037"/>
  <c r="IO70" i="65037" s="1"/>
  <c r="IL65" i="65037"/>
  <c r="EO65" i="65037"/>
  <c r="IN65" i="65037"/>
  <c r="IO65" i="65037" s="1"/>
  <c r="IN56" i="65037"/>
  <c r="IO56" i="65037" s="1"/>
  <c r="IL56" i="65037"/>
  <c r="EO56" i="65037"/>
  <c r="IL77" i="65037"/>
  <c r="IN77" i="65037"/>
  <c r="IO77" i="65037" s="1"/>
  <c r="EO77" i="65037"/>
  <c r="IN66" i="65037"/>
  <c r="IO66" i="65037" s="1"/>
  <c r="IL66" i="65037"/>
  <c r="EO66" i="65037"/>
  <c r="IL75" i="65037"/>
  <c r="EO75" i="65037"/>
  <c r="IN75" i="65037"/>
  <c r="IO75" i="65037" s="1"/>
  <c r="EO73" i="65037"/>
  <c r="IN73" i="65037"/>
  <c r="IO73" i="65037" s="1"/>
  <c r="IL73" i="65037"/>
  <c r="EO67" i="65037"/>
  <c r="IN67" i="65037"/>
  <c r="IO67" i="65037" s="1"/>
  <c r="IL67" i="65037"/>
  <c r="EO68" i="65037"/>
  <c r="IN68" i="65037"/>
  <c r="IO68" i="65037" s="1"/>
  <c r="IL68" i="65037"/>
  <c r="IN58" i="65037"/>
  <c r="IO58" i="65037" s="1"/>
  <c r="EO58" i="65037"/>
  <c r="IL58" i="65037"/>
  <c r="IL61" i="65037"/>
  <c r="EO61" i="65037"/>
  <c r="IN61" i="65037"/>
  <c r="IO61" i="65037" s="1"/>
  <c r="IN78" i="65037"/>
  <c r="IO78" i="65037" s="1"/>
  <c r="EO78" i="65037"/>
  <c r="IL78" i="65037"/>
  <c r="EO60" i="65037"/>
  <c r="IL60" i="65037"/>
  <c r="IN60" i="65037"/>
  <c r="IO60" i="65037" s="1"/>
  <c r="IN57" i="65037"/>
  <c r="IO57" i="65037" s="1"/>
  <c r="IL57" i="65037"/>
  <c r="EO57" i="65037"/>
  <c r="IL71" i="65037"/>
  <c r="EO71" i="65037"/>
  <c r="IN71" i="65037"/>
  <c r="IO71" i="65037" s="1"/>
  <c r="IN59" i="65037"/>
  <c r="IO59" i="65037" s="1"/>
  <c r="EO59" i="65037"/>
  <c r="IL59" i="65037"/>
  <c r="IN72" i="65037"/>
  <c r="IO72" i="65037" s="1"/>
  <c r="EO72" i="65037"/>
  <c r="IL72" i="65037"/>
  <c r="IN76" i="65037"/>
  <c r="IO76" i="65037" s="1"/>
  <c r="IL76" i="65037"/>
  <c r="EO76" i="65037"/>
  <c r="BQ89" i="65037"/>
  <c r="BL89" i="65037" s="1"/>
  <c r="BM89" i="65037" s="1"/>
  <c r="BN89" i="65037" s="1"/>
  <c r="IT55" i="65037"/>
  <c r="IV55" i="65037"/>
  <c r="IW55" i="65037" s="1"/>
  <c r="EQ55" i="65037"/>
  <c r="EP54" i="65037" l="1"/>
  <c r="IR54" i="65037"/>
  <c r="IS54" i="65037" s="1"/>
  <c r="IP54" i="65037"/>
  <c r="EP71" i="65037"/>
  <c r="IR71" i="65037"/>
  <c r="IS71" i="65037" s="1"/>
  <c r="IP71" i="65037"/>
  <c r="IR66" i="65037"/>
  <c r="IS66" i="65037" s="1"/>
  <c r="EP66" i="65037"/>
  <c r="IP66" i="65037"/>
  <c r="EP58" i="65037"/>
  <c r="IR58" i="65037"/>
  <c r="IS58" i="65037" s="1"/>
  <c r="IP58" i="65037"/>
  <c r="IR73" i="65037"/>
  <c r="IS73" i="65037" s="1"/>
  <c r="EP73" i="65037"/>
  <c r="IP73" i="65037"/>
  <c r="IR63" i="65037"/>
  <c r="IS63" i="65037" s="1"/>
  <c r="IP63" i="65037"/>
  <c r="EP63" i="65037"/>
  <c r="IP64" i="65037"/>
  <c r="IR64" i="65037"/>
  <c r="IS64" i="65037" s="1"/>
  <c r="EP64" i="65037"/>
  <c r="IP65" i="65037"/>
  <c r="EP65" i="65037"/>
  <c r="IR65" i="65037"/>
  <c r="IS65" i="65037" s="1"/>
  <c r="IP77" i="65037"/>
  <c r="IR77" i="65037"/>
  <c r="IS77" i="65037" s="1"/>
  <c r="EP77" i="65037"/>
  <c r="EP70" i="65037"/>
  <c r="IP70" i="65037"/>
  <c r="IR70" i="65037"/>
  <c r="IS70" i="65037" s="1"/>
  <c r="IP78" i="65037"/>
  <c r="IR78" i="65037"/>
  <c r="IS78" i="65037" s="1"/>
  <c r="EP78" i="65037"/>
  <c r="IR68" i="65037"/>
  <c r="IS68" i="65037" s="1"/>
  <c r="EP68" i="65037"/>
  <c r="IP68" i="65037"/>
  <c r="EP75" i="65037"/>
  <c r="IR75" i="65037"/>
  <c r="IS75" i="65037" s="1"/>
  <c r="IP75" i="65037"/>
  <c r="EP69" i="65037"/>
  <c r="IR69" i="65037"/>
  <c r="IS69" i="65037" s="1"/>
  <c r="IP69" i="65037"/>
  <c r="IR72" i="65037"/>
  <c r="IS72" i="65037" s="1"/>
  <c r="IP72" i="65037"/>
  <c r="EP72" i="65037"/>
  <c r="EP61" i="65037"/>
  <c r="IR61" i="65037"/>
  <c r="IS61" i="65037" s="1"/>
  <c r="IP61" i="65037"/>
  <c r="EP57" i="65037"/>
  <c r="IR57" i="65037"/>
  <c r="IS57" i="65037" s="1"/>
  <c r="IP57" i="65037"/>
  <c r="IR62" i="65037"/>
  <c r="IS62" i="65037" s="1"/>
  <c r="EP62" i="65037"/>
  <c r="IP62" i="65037"/>
  <c r="IR59" i="65037"/>
  <c r="IS59" i="65037" s="1"/>
  <c r="IP59" i="65037"/>
  <c r="EP59" i="65037"/>
  <c r="IR76" i="65037"/>
  <c r="IS76" i="65037" s="1"/>
  <c r="EP76" i="65037"/>
  <c r="IP76" i="65037"/>
  <c r="IR60" i="65037"/>
  <c r="IS60" i="65037" s="1"/>
  <c r="EP60" i="65037"/>
  <c r="IP60" i="65037"/>
  <c r="IR67" i="65037"/>
  <c r="IS67" i="65037" s="1"/>
  <c r="IP67" i="65037"/>
  <c r="EP67" i="65037"/>
  <c r="EP56" i="65037"/>
  <c r="IP56" i="65037"/>
  <c r="IR56" i="65037"/>
  <c r="IS56" i="65037" s="1"/>
  <c r="IR74" i="65037"/>
  <c r="IS74" i="65037" s="1"/>
  <c r="IP74" i="65037"/>
  <c r="EP74" i="65037"/>
  <c r="AW90" i="65037"/>
  <c r="BP90" i="65037"/>
  <c r="BO90" i="65037" s="1"/>
  <c r="IX55" i="65037"/>
  <c r="ER55" i="65037"/>
  <c r="IT67" i="65037" l="1"/>
  <c r="EQ67" i="65037"/>
  <c r="IV67" i="65037"/>
  <c r="IW67" i="65037" s="1"/>
  <c r="IT59" i="65037"/>
  <c r="IV59" i="65037"/>
  <c r="IW59" i="65037" s="1"/>
  <c r="EQ59" i="65037"/>
  <c r="EQ61" i="65037"/>
  <c r="IV61" i="65037"/>
  <c r="IW61" i="65037" s="1"/>
  <c r="IT61" i="65037"/>
  <c r="EQ66" i="65037"/>
  <c r="IV66" i="65037"/>
  <c r="IW66" i="65037" s="1"/>
  <c r="IT66" i="65037"/>
  <c r="EQ78" i="65037"/>
  <c r="IT78" i="65037"/>
  <c r="IV78" i="65037"/>
  <c r="IW78" i="65037" s="1"/>
  <c r="IV75" i="65037"/>
  <c r="IW75" i="65037" s="1"/>
  <c r="IT75" i="65037"/>
  <c r="EQ75" i="65037"/>
  <c r="IV70" i="65037"/>
  <c r="IW70" i="65037" s="1"/>
  <c r="IT70" i="65037"/>
  <c r="EQ70" i="65037"/>
  <c r="IT74" i="65037"/>
  <c r="EQ74" i="65037"/>
  <c r="IV74" i="65037"/>
  <c r="IW74" i="65037" s="1"/>
  <c r="EQ56" i="65037"/>
  <c r="IV56" i="65037"/>
  <c r="IW56" i="65037" s="1"/>
  <c r="IT56" i="65037"/>
  <c r="IT60" i="65037"/>
  <c r="IV60" i="65037"/>
  <c r="IW60" i="65037" s="1"/>
  <c r="EQ60" i="65037"/>
  <c r="IV73" i="65037"/>
  <c r="IW73" i="65037" s="1"/>
  <c r="IT73" i="65037"/>
  <c r="EQ73" i="65037"/>
  <c r="IV71" i="65037"/>
  <c r="IW71" i="65037" s="1"/>
  <c r="IT71" i="65037"/>
  <c r="EQ71" i="65037"/>
  <c r="IV64" i="65037"/>
  <c r="IW64" i="65037" s="1"/>
  <c r="EQ64" i="65037"/>
  <c r="IT64" i="65037"/>
  <c r="IT63" i="65037"/>
  <c r="EQ63" i="65037"/>
  <c r="IV63" i="65037"/>
  <c r="IW63" i="65037" s="1"/>
  <c r="IV62" i="65037"/>
  <c r="IW62" i="65037" s="1"/>
  <c r="EQ62" i="65037"/>
  <c r="IT62" i="65037"/>
  <c r="IT72" i="65037"/>
  <c r="EQ72" i="65037"/>
  <c r="IV72" i="65037"/>
  <c r="IW72" i="65037" s="1"/>
  <c r="IT58" i="65037"/>
  <c r="EQ58" i="65037"/>
  <c r="IV58" i="65037"/>
  <c r="IW58" i="65037" s="1"/>
  <c r="IV65" i="65037"/>
  <c r="IW65" i="65037" s="1"/>
  <c r="EQ65" i="65037"/>
  <c r="IT65" i="65037"/>
  <c r="EQ76" i="65037"/>
  <c r="IV76" i="65037"/>
  <c r="IW76" i="65037" s="1"/>
  <c r="IT76" i="65037"/>
  <c r="IV57" i="65037"/>
  <c r="IW57" i="65037" s="1"/>
  <c r="IT57" i="65037"/>
  <c r="EQ57" i="65037"/>
  <c r="IT68" i="65037"/>
  <c r="EQ68" i="65037"/>
  <c r="IV68" i="65037"/>
  <c r="IW68" i="65037" s="1"/>
  <c r="IV77" i="65037"/>
  <c r="IW77" i="65037" s="1"/>
  <c r="EQ77" i="65037"/>
  <c r="IT77" i="65037"/>
  <c r="EQ54" i="65037"/>
  <c r="IT54" i="65037"/>
  <c r="IV54" i="65037"/>
  <c r="IW54" i="65037" s="1"/>
  <c r="EQ69" i="65037"/>
  <c r="IV69" i="65037"/>
  <c r="IW69" i="65037" s="1"/>
  <c r="IT69" i="65037"/>
  <c r="AV90" i="65037"/>
  <c r="BU90" i="65037" s="1"/>
  <c r="BW90" i="65037" s="1"/>
  <c r="BY90" i="65037" s="1"/>
  <c r="ET55" i="65037"/>
  <c r="EZ55" i="65037"/>
  <c r="ER72" i="65037" l="1"/>
  <c r="IX72" i="65037"/>
  <c r="IX74" i="65037"/>
  <c r="ER74" i="65037"/>
  <c r="IX75" i="65037"/>
  <c r="ER75" i="65037"/>
  <c r="IX61" i="65037"/>
  <c r="ER61" i="65037"/>
  <c r="ER76" i="65037"/>
  <c r="IX76" i="65037"/>
  <c r="ER68" i="65037"/>
  <c r="IX68" i="65037"/>
  <c r="IX73" i="65037"/>
  <c r="ER73" i="65037"/>
  <c r="ER78" i="65037"/>
  <c r="IX78" i="65037"/>
  <c r="ER69" i="65037"/>
  <c r="IX69" i="65037"/>
  <c r="IX77" i="65037"/>
  <c r="ER77" i="65037"/>
  <c r="IX54" i="65037"/>
  <c r="ER54" i="65037"/>
  <c r="EZ54" i="65037" s="1"/>
  <c r="ER64" i="65037"/>
  <c r="IX64" i="65037"/>
  <c r="IX60" i="65037"/>
  <c r="ER60" i="65037"/>
  <c r="IX59" i="65037"/>
  <c r="ER59" i="65037"/>
  <c r="IX65" i="65037"/>
  <c r="ER65" i="65037"/>
  <c r="ER62" i="65037"/>
  <c r="IX62" i="65037"/>
  <c r="IX70" i="65037"/>
  <c r="ER70" i="65037"/>
  <c r="IX66" i="65037"/>
  <c r="ER66" i="65037"/>
  <c r="ER67" i="65037"/>
  <c r="IX67" i="65037"/>
  <c r="ER57" i="65037"/>
  <c r="IX57" i="65037"/>
  <c r="ER63" i="65037"/>
  <c r="IX63" i="65037"/>
  <c r="ER71" i="65037"/>
  <c r="IX71" i="65037"/>
  <c r="IX56" i="65037"/>
  <c r="ER56" i="65037"/>
  <c r="IX58" i="65037"/>
  <c r="ER58" i="65037"/>
  <c r="BZ90" i="65037"/>
  <c r="BX90" i="65037" s="1"/>
  <c r="BK90" i="65037" s="1"/>
  <c r="ET54" i="65037" l="1"/>
  <c r="ET57" i="65037"/>
  <c r="EZ57" i="65037"/>
  <c r="ET62" i="65037"/>
  <c r="EZ62" i="65037"/>
  <c r="ET61" i="65037"/>
  <c r="EZ61" i="65037"/>
  <c r="EZ56" i="65037"/>
  <c r="ET56" i="65037"/>
  <c r="ET64" i="65037"/>
  <c r="EZ64" i="65037"/>
  <c r="ET78" i="65037"/>
  <c r="EZ78" i="65037"/>
  <c r="ET67" i="65037"/>
  <c r="EZ67" i="65037"/>
  <c r="ET65" i="65037"/>
  <c r="EZ65" i="65037"/>
  <c r="ET73" i="65037"/>
  <c r="EZ73" i="65037"/>
  <c r="ET75" i="65037"/>
  <c r="EZ75" i="65037"/>
  <c r="ET66" i="65037"/>
  <c r="EZ66" i="65037"/>
  <c r="ET71" i="65037"/>
  <c r="EZ71" i="65037"/>
  <c r="ET59" i="65037"/>
  <c r="EZ59" i="65037"/>
  <c r="ET77" i="65037"/>
  <c r="EZ77" i="65037"/>
  <c r="ET74" i="65037"/>
  <c r="EZ74" i="65037"/>
  <c r="ET70" i="65037"/>
  <c r="EZ70" i="65037"/>
  <c r="ET68" i="65037"/>
  <c r="EZ68" i="65037"/>
  <c r="ET60" i="65037"/>
  <c r="EZ60" i="65037"/>
  <c r="ET63" i="65037"/>
  <c r="EZ63" i="65037"/>
  <c r="ET58" i="65037"/>
  <c r="EZ58" i="65037"/>
  <c r="ET69" i="65037"/>
  <c r="EZ69" i="65037"/>
  <c r="EZ76" i="65037"/>
  <c r="ET76" i="65037"/>
  <c r="ET72" i="65037"/>
  <c r="EZ72" i="65037"/>
  <c r="BQ90" i="65037"/>
  <c r="BL90" i="65037" s="1"/>
  <c r="BM90" i="65037" s="1"/>
  <c r="BN90" i="65037" s="1"/>
  <c r="AW91" i="65037" l="1"/>
  <c r="BP91" i="65037"/>
  <c r="BO91" i="65037" s="1"/>
  <c r="AZ91" i="65037" l="1"/>
  <c r="AV91" i="65037"/>
  <c r="BU91" i="65037" s="1"/>
  <c r="BW91" i="65037" s="1"/>
  <c r="BY91" i="65037" s="1"/>
  <c r="AZ88" i="65037"/>
  <c r="AZ90" i="65037"/>
  <c r="AZ87" i="65037"/>
  <c r="BC87" i="65037" s="1"/>
  <c r="AZ89" i="65037"/>
  <c r="AZ85" i="65037"/>
  <c r="AZ86" i="65037"/>
  <c r="BC86" i="65037" s="1"/>
  <c r="BC85" i="65037" l="1"/>
  <c r="BC84" i="65037" s="1"/>
  <c r="BE85" i="65037"/>
  <c r="BF85" i="65037" s="1"/>
  <c r="AY85" i="65037"/>
  <c r="BA85" i="65037" s="1"/>
  <c r="BZ91" i="65037"/>
  <c r="BX91" i="65037" s="1"/>
  <c r="EY53" i="65037" l="1"/>
  <c r="EY77" i="65037" s="1"/>
  <c r="BD86" i="65037"/>
  <c r="BE86" i="65037" s="1"/>
  <c r="BF86" i="65037" s="1"/>
  <c r="AY86" i="65037"/>
  <c r="BD87" i="65037" l="1"/>
  <c r="EY75" i="65037"/>
  <c r="EY63" i="65037"/>
  <c r="EY72" i="65037"/>
  <c r="EY78" i="65037"/>
  <c r="EY58" i="65037"/>
  <c r="EY62" i="65037"/>
  <c r="EY61" i="65037"/>
  <c r="EY55" i="65037"/>
  <c r="EY68" i="65037"/>
  <c r="EY66" i="65037"/>
  <c r="EY54" i="65037"/>
  <c r="EY65" i="65037"/>
  <c r="EY70" i="65037"/>
  <c r="EY60" i="65037"/>
  <c r="EY59" i="65037"/>
  <c r="EY67" i="65037"/>
  <c r="EY76" i="65037"/>
  <c r="EY71" i="65037"/>
  <c r="EY74" i="65037"/>
  <c r="EY73" i="65037"/>
  <c r="EY57" i="65037"/>
  <c r="EY56" i="65037"/>
  <c r="EY69" i="65037"/>
  <c r="EY64" i="65037"/>
  <c r="BA86" i="65037"/>
  <c r="AY87" i="65037"/>
  <c r="BE87" i="65037" l="1"/>
  <c r="BF87" i="65037" s="1"/>
  <c r="BD88" i="65037"/>
  <c r="BA87" i="65037"/>
  <c r="AY88" i="65037"/>
  <c r="BE88" i="65037" l="1"/>
  <c r="BF88" i="65037" s="1"/>
  <c r="BD89" i="65037"/>
  <c r="BA88" i="65037"/>
  <c r="AY89" i="65037"/>
  <c r="BE89" i="65037" l="1"/>
  <c r="BD90" i="65037"/>
  <c r="BA89" i="65037"/>
  <c r="AY90" i="65037"/>
  <c r="BE90" i="65037" l="1"/>
  <c r="BD91" i="65037"/>
  <c r="BE91" i="65037" s="1"/>
  <c r="BF89" i="65037"/>
  <c r="AT148" i="65037"/>
  <c r="AU43" i="65037" s="1"/>
  <c r="AY91" i="65037"/>
  <c r="BA91" i="65037" s="1"/>
  <c r="BA90" i="65037"/>
  <c r="BF90" i="65037" l="1"/>
  <c r="BE84" i="65037"/>
  <c r="BA84" i="65037"/>
  <c r="BG90" i="65037" l="1"/>
  <c r="AT133" i="65037" s="1"/>
  <c r="AU28" i="65037" s="1"/>
  <c r="BF91" i="65037"/>
  <c r="BG91" i="65037" s="1"/>
  <c r="BG86" i="65037"/>
  <c r="BG88" i="65037"/>
  <c r="BG87" i="65037"/>
  <c r="BG89" i="65037"/>
  <c r="BG85" i="65037"/>
  <c r="AT139" i="65037" s="1"/>
  <c r="AU34" i="65037" s="1"/>
  <c r="AW103" i="65037"/>
  <c r="AT146" i="65037" l="1"/>
  <c r="AU41" i="65037" s="1"/>
  <c r="AT135" i="65037"/>
  <c r="AU30" i="65037" s="1"/>
  <c r="AT140" i="65037"/>
  <c r="AU35" i="65037" s="1"/>
  <c r="AT142" i="65037"/>
  <c r="AU37" i="65037" s="1"/>
  <c r="AT144" i="65037"/>
  <c r="AU39" i="65037" s="1"/>
  <c r="AT145" i="65037"/>
  <c r="AU40" i="65037" s="1"/>
  <c r="AT141" i="65037"/>
  <c r="AU36" i="65037" s="1"/>
  <c r="AT143" i="65037"/>
  <c r="AU38" i="65037" s="1"/>
  <c r="BA122" i="65037"/>
  <c r="BA123" i="65037"/>
  <c r="BA120" i="65037"/>
  <c r="BA119" i="65037"/>
  <c r="BA124" i="65037"/>
  <c r="BA121" i="65037"/>
  <c r="BK139" i="65037" l="1"/>
  <c r="BK137" i="65037"/>
  <c r="BK138" i="65037"/>
  <c r="AX118" i="65037" l="1" a="1"/>
  <c r="AX118" i="65037" s="1"/>
  <c r="AY118" i="65037" l="1"/>
  <c r="AY103" i="65037" l="1"/>
  <c r="AX103" i="65037" s="1"/>
  <c r="BF118" i="65037"/>
  <c r="AX117" i="65037" l="1" a="1"/>
  <c r="AX117" i="65037" s="1"/>
  <c r="AY117" i="65037" s="1"/>
  <c r="BF117" i="65037" s="1"/>
  <c r="AW104" i="65037"/>
  <c r="AY104" i="65037" s="1"/>
  <c r="AX104" i="65037" s="1"/>
  <c r="CZ37" i="65037" l="1"/>
  <c r="CZ38" i="65037"/>
  <c r="CZ39" i="65037"/>
  <c r="CZ40" i="65037"/>
  <c r="CZ41" i="65037"/>
  <c r="CZ42" i="65037"/>
  <c r="Q42" i="65037" s="1"/>
  <c r="Q41" i="65037"/>
  <c r="ES70" i="65037" s="1"/>
  <c r="FE70" i="65037" l="1"/>
  <c r="FE71" i="65037"/>
  <c r="BA118" i="65037" l="1"/>
  <c r="AX116" i="65037" l="1" a="1"/>
  <c r="AX116" i="65037" s="1"/>
  <c r="AY116" i="65037" s="1"/>
  <c r="AY125" i="65037" l="1"/>
  <c r="BA117" i="65037" s="1"/>
  <c r="BF116" i="65037"/>
  <c r="BA116" i="65037"/>
  <c r="BC116" i="65037" s="1"/>
  <c r="BC115" i="65037" l="1"/>
  <c r="CZ27" i="65037"/>
  <c r="ES52" i="65037" s="1" a="1"/>
  <c r="ES52" i="65037" s="1"/>
  <c r="CZ49" i="65037"/>
  <c r="Q49" i="65037" s="1"/>
  <c r="FE78" i="65037" s="1"/>
  <c r="CZ48" i="65037"/>
  <c r="Q48" i="65037" s="1"/>
  <c r="CZ47" i="65037"/>
  <c r="Q47" i="65037" s="1"/>
  <c r="FE76" i="65037" s="1"/>
  <c r="FE77" i="65037" l="1"/>
  <c r="O27" i="65037"/>
  <c r="Q27" i="65037" s="1"/>
  <c r="ES53" i="65037"/>
  <c r="BK133" i="65037"/>
  <c r="CZ43" i="65037" s="1"/>
  <c r="Q43" i="65037" s="1"/>
  <c r="ES72" i="65037" s="1"/>
  <c r="BK135" i="65037"/>
  <c r="CZ45" i="65037" s="1"/>
  <c r="Q45" i="65037" s="1"/>
  <c r="BK136" i="65037"/>
  <c r="CZ46" i="65037" s="1"/>
  <c r="Q46" i="65037" s="1"/>
  <c r="BK134" i="65037"/>
  <c r="CZ44" i="65037" s="1"/>
  <c r="Q44" i="65037" s="1"/>
  <c r="FE73" i="65037" s="1"/>
  <c r="ES54" i="65037" l="1"/>
  <c r="ES56" i="65037"/>
  <c r="FE56" i="65037"/>
  <c r="FE75" i="65037"/>
  <c r="FE74" i="65037"/>
  <c r="FE72" i="65037"/>
  <c r="CH47" i="65037" l="1"/>
  <c r="CE45" i="65037" l="1"/>
  <c r="BI45" i="65037" s="1"/>
  <c r="BH45" i="65037" s="1"/>
  <c r="BG45" i="65037" l="1"/>
  <c r="CB27" i="65037" l="1"/>
  <c r="AT56" i="65037" l="1"/>
  <c r="FD130" i="65037"/>
  <c r="AW105" i="65037"/>
  <c r="AY105" i="65037" s="1"/>
  <c r="AX105" i="65037" s="1"/>
  <c r="AU58" i="65037"/>
  <c r="Q26" i="65037"/>
  <c r="ES55" i="65037" s="1"/>
  <c r="BV28" i="65037"/>
  <c r="BM26" i="65037"/>
  <c r="FE55" i="65037" l="1"/>
  <c r="FK54" i="65037" s="1"/>
  <c r="FO54" i="65037"/>
  <c r="FK55" i="65037"/>
  <c r="GA113" i="65037" l="1"/>
  <c r="FW114" i="65037"/>
  <c r="GE112" i="65037"/>
  <c r="FS113" i="65037"/>
  <c r="FW112" i="65037"/>
  <c r="FO112" i="65037"/>
  <c r="BJ26" i="65037"/>
  <c r="FW113" i="65037" l="1"/>
  <c r="FS114" i="65037"/>
  <c r="GA112" i="65037"/>
  <c r="FO113" i="65037"/>
  <c r="FS112" i="65037"/>
  <c r="FK112" i="65037"/>
  <c r="AX123" i="65037" a="1"/>
  <c r="AX123" i="65037" s="1"/>
  <c r="AY123" i="65037" s="1"/>
  <c r="BF123" i="65037" s="1"/>
  <c r="BK27" i="65037" l="1"/>
  <c r="BL28" i="65037" l="1"/>
  <c r="BM29" i="65037" l="1"/>
  <c r="AX25" i="65037" l="1"/>
  <c r="N29" i="65037"/>
  <c r="BN30" i="65037" l="1"/>
  <c r="N30" i="65037" l="1"/>
  <c r="AT66" i="65037" l="1"/>
  <c r="BO31" i="65037"/>
  <c r="N31" i="65037" l="1"/>
  <c r="BP32" i="65037" l="1"/>
  <c r="BQ33" i="65037" l="1"/>
  <c r="FW115" i="65037" l="1"/>
  <c r="GE113" i="65037"/>
  <c r="GA114" i="65037"/>
  <c r="GM112" i="65037" l="1"/>
  <c r="GI113" i="65037"/>
  <c r="GE114" i="65037"/>
  <c r="GA115" i="65037"/>
  <c r="BR34" i="65037" l="1"/>
  <c r="BS35" i="65037" l="1"/>
  <c r="GE115" i="65037"/>
  <c r="GM113" i="65037"/>
  <c r="GA116" i="65037"/>
  <c r="GQ112" i="65037"/>
  <c r="GI114" i="65037"/>
  <c r="FD78" i="65037" l="1"/>
  <c r="EX78" i="65037" s="1"/>
  <c r="R49" i="65037" s="1"/>
  <c r="FD77" i="65037"/>
  <c r="EX77" i="65037" s="1"/>
  <c r="R48" i="65037" s="1"/>
  <c r="FD76" i="65037"/>
  <c r="EX76" i="65037" s="1"/>
  <c r="R47" i="65037" s="1"/>
  <c r="AN47" i="65037" s="1"/>
  <c r="AO47" i="65037" s="1"/>
  <c r="CR47" i="65037" s="1"/>
  <c r="FD75" i="65037"/>
  <c r="EX75" i="65037" s="1"/>
  <c r="R46" i="65037" s="1"/>
  <c r="FD74" i="65037"/>
  <c r="EX74" i="65037" s="1"/>
  <c r="R45" i="65037" s="1"/>
  <c r="S45" i="65037" s="1"/>
  <c r="FD73" i="65037"/>
  <c r="EX73" i="65037" s="1"/>
  <c r="R44" i="65037" s="1"/>
  <c r="FD72" i="65037"/>
  <c r="EX72" i="65037" s="1"/>
  <c r="R43" i="65037" s="1"/>
  <c r="AN43" i="65037" s="1"/>
  <c r="AO43" i="65037" s="1"/>
  <c r="CR43" i="65037" s="1"/>
  <c r="FD71" i="65037"/>
  <c r="EX71" i="65037" s="1"/>
  <c r="R42" i="65037" s="1"/>
  <c r="FD70" i="65037"/>
  <c r="EX70" i="65037" s="1"/>
  <c r="R41" i="65037" s="1"/>
  <c r="T49" i="65037" l="1"/>
  <c r="S49" i="65037"/>
  <c r="AT49" i="65037"/>
  <c r="AS49" i="65037" s="1"/>
  <c r="AN49" i="65037"/>
  <c r="AO49" i="65037" s="1"/>
  <c r="CR49" i="65037" s="1"/>
  <c r="T47" i="65037"/>
  <c r="AN45" i="65037"/>
  <c r="AO45" i="65037" s="1"/>
  <c r="CR45" i="65037" s="1"/>
  <c r="AT45" i="65037"/>
  <c r="AS45" i="65037" s="1"/>
  <c r="T45" i="65037"/>
  <c r="AT47" i="65037"/>
  <c r="AS47" i="65037" s="1"/>
  <c r="S47" i="65037"/>
  <c r="S48" i="65037"/>
  <c r="AN48" i="65037"/>
  <c r="AO48" i="65037" s="1"/>
  <c r="CR48" i="65037" s="1"/>
  <c r="T48" i="65037"/>
  <c r="AT48" i="65037"/>
  <c r="AS48" i="65037" s="1"/>
  <c r="T46" i="65037"/>
  <c r="AT46" i="65037"/>
  <c r="AS46" i="65037" s="1"/>
  <c r="S46" i="65037"/>
  <c r="AN46" i="65037"/>
  <c r="AO46" i="65037" s="1"/>
  <c r="CR46" i="65037" s="1"/>
  <c r="AT44" i="65037"/>
  <c r="AS44" i="65037" s="1"/>
  <c r="T44" i="65037"/>
  <c r="S44" i="65037"/>
  <c r="AN44" i="65037"/>
  <c r="AO44" i="65037" s="1"/>
  <c r="CR44" i="65037" s="1"/>
  <c r="S43" i="65037"/>
  <c r="T43" i="65037"/>
  <c r="AT43" i="65037"/>
  <c r="AS43" i="65037" s="1"/>
  <c r="AT42" i="65037"/>
  <c r="AS42" i="65037" s="1"/>
  <c r="S42" i="65037"/>
  <c r="T42" i="65037"/>
  <c r="AN42" i="65037"/>
  <c r="AO42" i="65037" s="1"/>
  <c r="CR42" i="65037" s="1"/>
  <c r="T41" i="65037"/>
  <c r="AT41" i="65037"/>
  <c r="AS41" i="65037" s="1"/>
  <c r="S41" i="65037"/>
  <c r="AN41" i="65037"/>
  <c r="AO41" i="65037" s="1"/>
  <c r="CR41" i="65037" s="1"/>
  <c r="AE47" i="65037"/>
  <c r="AE43" i="65037"/>
  <c r="AU54" i="65037"/>
  <c r="AE49" i="65037" l="1"/>
  <c r="AE45" i="65037"/>
  <c r="AF45" i="65037" s="1"/>
  <c r="AE48" i="65037"/>
  <c r="AF48" i="65037" s="1"/>
  <c r="AE46" i="65037"/>
  <c r="AE44" i="65037"/>
  <c r="AE42" i="65037"/>
  <c r="AE41" i="65037"/>
  <c r="AF47" i="65037"/>
  <c r="AF43" i="65037"/>
  <c r="AT61" i="65037"/>
  <c r="GI116" i="65037"/>
  <c r="GQ114" i="65037"/>
  <c r="GM115" i="65037"/>
  <c r="GU113" i="65037"/>
  <c r="GY112" i="65037"/>
  <c r="GE117" i="65037"/>
  <c r="BT36" i="65037"/>
  <c r="GI115" i="65037"/>
  <c r="GU112" i="65037"/>
  <c r="GQ113" i="65037"/>
  <c r="GM114" i="65037"/>
  <c r="GE116" i="65037"/>
  <c r="AF49" i="65037" l="1"/>
  <c r="FH135" i="65037"/>
  <c r="FK136" i="65037" s="1"/>
  <c r="AF46" i="65037"/>
  <c r="AF44" i="65037"/>
  <c r="AF42" i="65037"/>
  <c r="AF41" i="65037"/>
  <c r="FH134" i="65037"/>
  <c r="FH130" i="65037"/>
  <c r="FH132" i="65037"/>
  <c r="BF45" i="65037"/>
  <c r="BC45" i="65037" s="1"/>
  <c r="GQ115" i="65037"/>
  <c r="GU114" i="65037"/>
  <c r="GI117" i="65037"/>
  <c r="GY113" i="65037"/>
  <c r="GM116" i="65037"/>
  <c r="HC112" i="65037"/>
  <c r="FK135" i="65037" l="1"/>
  <c r="FO136" i="65037"/>
  <c r="FH136" i="65037"/>
  <c r="BF49" i="65037"/>
  <c r="FH133" i="65037"/>
  <c r="FS136" i="65037" s="1"/>
  <c r="CD44" i="65037"/>
  <c r="BI44" i="65037" s="1"/>
  <c r="BH44" i="65037" s="1"/>
  <c r="BG44" i="65037" s="1"/>
  <c r="BF44" i="65037" s="1"/>
  <c r="BC44" i="65037" s="1"/>
  <c r="FK131" i="65037"/>
  <c r="FO132" i="65037"/>
  <c r="FH131" i="65037"/>
  <c r="FK132" i="65037" s="1"/>
  <c r="FH129" i="65037"/>
  <c r="FS132" i="65037" s="1"/>
  <c r="FH128" i="65037"/>
  <c r="BU37" i="65037"/>
  <c r="CH48" i="65037" l="1"/>
  <c r="BI48" i="65037" s="1"/>
  <c r="BH48" i="65037" s="1"/>
  <c r="BG48" i="65037" s="1"/>
  <c r="BF48" i="65037" s="1"/>
  <c r="CG47" i="65037" s="1"/>
  <c r="BI47" i="65037" s="1"/>
  <c r="BH47" i="65037" s="1"/>
  <c r="BG47" i="65037" s="1"/>
  <c r="BF47" i="65037" s="1"/>
  <c r="CF46" i="65037" s="1"/>
  <c r="BI46" i="65037" s="1"/>
  <c r="BH46" i="65037" s="1"/>
  <c r="BG46" i="65037" s="1"/>
  <c r="BF46" i="65037" s="1"/>
  <c r="CE41" i="65037" s="1"/>
  <c r="FS135" i="65037"/>
  <c r="FW136" i="65037"/>
  <c r="FK134" i="65037"/>
  <c r="FO135" i="65037"/>
  <c r="FK133" i="65037"/>
  <c r="FO134" i="65037"/>
  <c r="FS131" i="65037"/>
  <c r="FW132" i="65037"/>
  <c r="CC43" i="65037"/>
  <c r="BI43" i="65037" s="1"/>
  <c r="BH43" i="65037" s="1"/>
  <c r="BG43" i="65037" s="1"/>
  <c r="BF43" i="65037" s="1"/>
  <c r="FK130" i="65037"/>
  <c r="FO131" i="65037"/>
  <c r="FK129" i="65037"/>
  <c r="FO130" i="65037"/>
  <c r="BC43" i="65037" l="1"/>
  <c r="CB42" i="65037"/>
  <c r="BI42" i="65037" s="1"/>
  <c r="BH42" i="65037" s="1"/>
  <c r="BG42" i="65037" s="1"/>
  <c r="BF42" i="65037" s="1"/>
  <c r="BC40" i="65037"/>
  <c r="BC42" i="65037" l="1"/>
  <c r="CA41" i="65037"/>
  <c r="BI41" i="65037" s="1"/>
  <c r="BH41" i="65037" s="1"/>
  <c r="BG41" i="65037" s="1"/>
  <c r="BF41" i="65037" s="1"/>
  <c r="BC39" i="65037"/>
  <c r="BC41" i="65037" l="1"/>
  <c r="BZ40" i="65037"/>
  <c r="BI40" i="65037" s="1"/>
  <c r="BH40" i="65037" s="1"/>
  <c r="BG40" i="65037" s="1"/>
  <c r="Q33" i="65037" l="1"/>
  <c r="FE62" i="65037" s="1"/>
  <c r="GI112" i="65037"/>
  <c r="ES62" i="65037" l="1"/>
  <c r="Q28" i="65037" l="1"/>
  <c r="AD45" i="65037"/>
  <c r="AD43" i="65037"/>
  <c r="AX44" i="65037" s="1"/>
  <c r="AC44" i="65037"/>
  <c r="AD44" i="65037"/>
  <c r="AX45" i="65037" s="1"/>
  <c r="AD42" i="65037"/>
  <c r="AX43" i="65037" s="1"/>
  <c r="AC41" i="65037"/>
  <c r="AD41" i="65037"/>
  <c r="N41" i="65037" s="1"/>
  <c r="AD40" i="65037"/>
  <c r="AX41" i="65037" s="1"/>
  <c r="AH44" i="65037" l="1"/>
  <c r="AI44" i="65037" s="1"/>
  <c r="AH41" i="65037"/>
  <c r="BE43" i="65037"/>
  <c r="AJ43" i="65037" s="1"/>
  <c r="CR73" i="65037" s="1"/>
  <c r="AY44" i="65037"/>
  <c r="BE45" i="65037"/>
  <c r="AJ45" i="65037" s="1"/>
  <c r="CR75" i="65037" s="1"/>
  <c r="AC42" i="65037"/>
  <c r="BE41" i="65037"/>
  <c r="AW74" i="65037"/>
  <c r="BE44" i="65037"/>
  <c r="AJ44" i="65037" s="1"/>
  <c r="CR74" i="65037" s="1"/>
  <c r="AX46" i="65037"/>
  <c r="AX42" i="65037"/>
  <c r="ES57" i="65037"/>
  <c r="FE57" i="65037"/>
  <c r="FW54" i="65037" l="1"/>
  <c r="FO56" i="65037"/>
  <c r="FS55" i="65037"/>
  <c r="FK57" i="65037"/>
  <c r="GM54" i="65037"/>
  <c r="GI55" i="65037"/>
  <c r="FO60" i="65037"/>
  <c r="FK61" i="65037"/>
  <c r="GA57" i="65037"/>
  <c r="FW58" i="65037"/>
  <c r="FS59" i="65037"/>
  <c r="GE56" i="65037"/>
  <c r="AY41" i="65037"/>
  <c r="FS54" i="65037"/>
  <c r="FO55" i="65037"/>
  <c r="FK56" i="65037"/>
  <c r="AW75" i="65037"/>
  <c r="AW71" i="65037"/>
  <c r="AC46" i="65037"/>
  <c r="AY45" i="65037"/>
  <c r="AH92" i="65052"/>
  <c r="AI92" i="65052" s="1"/>
  <c r="AH89" i="65052"/>
  <c r="AI89" i="65052" s="1"/>
  <c r="AH42" i="65037"/>
  <c r="BE42" i="65037"/>
  <c r="AJ42" i="65037" s="1"/>
  <c r="CR72" i="65037" s="1"/>
  <c r="AY43" i="65037"/>
  <c r="FD69" i="65037"/>
  <c r="ES69" i="65037"/>
  <c r="EX69" i="65037" l="1"/>
  <c r="R40" i="65037" s="1"/>
  <c r="AH91" i="65052"/>
  <c r="AI91" i="65052" s="1"/>
  <c r="AI42" i="65037"/>
  <c r="AY42" i="65037"/>
  <c r="AH93" i="65052"/>
  <c r="AI93" i="65052" s="1"/>
  <c r="BE46" i="65037"/>
  <c r="AJ46" i="65037" l="1"/>
  <c r="CR76" i="65037" s="1"/>
  <c r="AD46" i="65037"/>
  <c r="AH90" i="65052"/>
  <c r="AI90" i="65052" s="1"/>
  <c r="AN40" i="65037"/>
  <c r="AO40" i="65037" s="1"/>
  <c r="CR40" i="65037" s="1"/>
  <c r="AT40" i="65037"/>
  <c r="AS40" i="65037" s="1"/>
  <c r="T40" i="65037"/>
  <c r="S40" i="65037"/>
  <c r="AE40" i="65037" l="1"/>
  <c r="AF40" i="65037" s="1"/>
  <c r="AX47" i="65037"/>
  <c r="AH46" i="65037"/>
  <c r="AY46" i="65037" l="1"/>
  <c r="AI46" i="65037"/>
  <c r="AW76" i="65037"/>
  <c r="AC47" i="65037"/>
  <c r="FH127" i="65037"/>
  <c r="BF40" i="65037"/>
  <c r="BE47" i="65037" l="1"/>
  <c r="BY39" i="65037"/>
  <c r="BI39" i="65037" s="1"/>
  <c r="BH39" i="65037" s="1"/>
  <c r="FO133" i="65037"/>
  <c r="GA136" i="65037"/>
  <c r="FS130" i="65037"/>
  <c r="FW135" i="65037"/>
  <c r="FW131" i="65037"/>
  <c r="FO129" i="65037"/>
  <c r="FS134" i="65037"/>
  <c r="GA132" i="65037"/>
  <c r="FK128" i="65037"/>
  <c r="AD39" i="65037" l="1"/>
  <c r="BG39" i="65037"/>
  <c r="AJ47" i="65037"/>
  <c r="CR77" i="65037" s="1"/>
  <c r="AD47" i="65037"/>
  <c r="AX48" i="65037" l="1"/>
  <c r="AH47" i="65037"/>
  <c r="AX40" i="65037"/>
  <c r="Q39" i="65037"/>
  <c r="BE40" i="65037" l="1"/>
  <c r="AY47" i="65037"/>
  <c r="AI47" i="65037"/>
  <c r="FE68" i="65037"/>
  <c r="FD68" i="65037" s="1"/>
  <c r="ES68" i="65037"/>
  <c r="AW77" i="65037"/>
  <c r="AC48" i="65037"/>
  <c r="EX68" i="65037" l="1"/>
  <c r="R39" i="65037" s="1"/>
  <c r="T39" i="65037" s="1"/>
  <c r="AY40" i="65037"/>
  <c r="AH88" i="65052"/>
  <c r="AI88" i="65052" s="1"/>
  <c r="BE48" i="65037"/>
  <c r="AN39" i="65037" l="1"/>
  <c r="AO39" i="65037" s="1"/>
  <c r="CR39" i="65037" s="1"/>
  <c r="S39" i="65037"/>
  <c r="AT39" i="65037"/>
  <c r="AS39" i="65037" s="1"/>
  <c r="AJ48" i="65037"/>
  <c r="CR78" i="65037" s="1"/>
  <c r="AD48" i="65037"/>
  <c r="AE39" i="65037" l="1"/>
  <c r="AF39" i="65037" s="1"/>
  <c r="AX49" i="65037"/>
  <c r="AH48" i="65037"/>
  <c r="AY48" i="65037" l="1"/>
  <c r="AI48" i="65037"/>
  <c r="AW78" i="65037"/>
  <c r="AC49" i="65037"/>
  <c r="FH126" i="65037"/>
  <c r="BF39" i="65037"/>
  <c r="BE49" i="65037" l="1"/>
  <c r="FS133" i="65037"/>
  <c r="GE136" i="65037"/>
  <c r="FS129" i="65037"/>
  <c r="FW134" i="65037"/>
  <c r="FK127" i="65037"/>
  <c r="GA131" i="65037"/>
  <c r="FW130" i="65037"/>
  <c r="GE132" i="65037"/>
  <c r="FO128" i="65037"/>
  <c r="GA135" i="65037"/>
  <c r="BX38" i="65037"/>
  <c r="BI38" i="65037" s="1"/>
  <c r="BH38" i="65037" s="1"/>
  <c r="BG38" i="65037" l="1"/>
  <c r="AD49" i="65037"/>
  <c r="AH49" i="65037" s="1"/>
  <c r="AJ49" i="65037"/>
  <c r="CR79" i="65037" s="1"/>
  <c r="AY49" i="65037" l="1"/>
  <c r="AI49" i="65037"/>
  <c r="AX39" i="65037"/>
  <c r="Q38" i="65037"/>
  <c r="BE39" i="65037" l="1"/>
  <c r="ES67" i="65037"/>
  <c r="FE67" i="65037"/>
  <c r="AH87" i="65052" l="1"/>
  <c r="AI87" i="65052" s="1"/>
  <c r="AY39" i="65037"/>
  <c r="FW129" i="65037" l="1"/>
  <c r="FK126" i="65037"/>
  <c r="GA134" i="65037"/>
  <c r="FS128" i="65037"/>
  <c r="FW133" i="65037"/>
  <c r="GI132" i="65037"/>
  <c r="GI136" i="65037"/>
  <c r="GE135" i="65037"/>
  <c r="FO127" i="65037"/>
  <c r="GA130" i="65037"/>
  <c r="GE131" i="65037"/>
  <c r="Q37" i="65037" l="1"/>
  <c r="FE66" i="65037" l="1"/>
  <c r="ES66" i="65037"/>
  <c r="FW128" i="65037" l="1"/>
  <c r="GM136" i="65037"/>
  <c r="GA129" i="65037"/>
  <c r="GE130" i="65037"/>
  <c r="FS127" i="65037"/>
  <c r="GE134" i="65037"/>
  <c r="GA133" i="65037"/>
  <c r="GI131" i="65037"/>
  <c r="GM132" i="65037"/>
  <c r="FO126" i="65037"/>
  <c r="GI135" i="65037"/>
  <c r="Q36" i="65037" l="1"/>
  <c r="ES65" i="65037" l="1"/>
  <c r="FE65" i="65037"/>
  <c r="GM131" i="65037" l="1"/>
  <c r="GE133" i="65037"/>
  <c r="GQ136" i="65037"/>
  <c r="GI130" i="65037"/>
  <c r="GQ132" i="65037"/>
  <c r="GI134" i="65037"/>
  <c r="FS126" i="65037"/>
  <c r="GE129" i="65037"/>
  <c r="GA128" i="65037"/>
  <c r="GM135" i="65037"/>
  <c r="FW127" i="65037"/>
  <c r="Q35" i="65037" l="1"/>
  <c r="ES64" i="65037" l="1"/>
  <c r="FE64" i="65037"/>
  <c r="GM130" i="65037" l="1"/>
  <c r="FW126" i="65037"/>
  <c r="GA127" i="65037"/>
  <c r="GQ131" i="65037"/>
  <c r="GI133" i="65037"/>
  <c r="GU136" i="65037"/>
  <c r="GM134" i="65037"/>
  <c r="GI129" i="65037"/>
  <c r="GQ135" i="65037"/>
  <c r="GE128" i="65037"/>
  <c r="GU132" i="65037"/>
  <c r="Q34" i="65037" l="1"/>
  <c r="N23" i="65037" s="1"/>
  <c r="BD118" i="65037" l="1"/>
  <c r="BD119" i="65037"/>
  <c r="BD117" i="65037"/>
  <c r="BD124" i="65037"/>
  <c r="BD116" i="65037"/>
  <c r="BD121" i="65037"/>
  <c r="BD120" i="65037"/>
  <c r="BD123" i="65037"/>
  <c r="BD122" i="65037"/>
  <c r="ES63" i="65037"/>
  <c r="FE63" i="65037"/>
  <c r="IU60" i="65037" l="1"/>
  <c r="IU54" i="65037"/>
  <c r="IE55" i="65037"/>
  <c r="IQ58" i="65037"/>
  <c r="GA67" i="65037"/>
  <c r="IY54" i="65037"/>
  <c r="IM64" i="65037"/>
  <c r="HK67" i="65037"/>
  <c r="GY62" i="65037"/>
  <c r="GI63" i="65037"/>
  <c r="IM76" i="65037"/>
  <c r="IU62" i="65037"/>
  <c r="GA78" i="65037"/>
  <c r="IY58" i="65037"/>
  <c r="IA75" i="65037"/>
  <c r="HC78" i="65037"/>
  <c r="GM73" i="65037"/>
  <c r="FS69" i="65037"/>
  <c r="IY72" i="65037"/>
  <c r="HW58" i="65037"/>
  <c r="GY75" i="65037"/>
  <c r="IY59" i="65037"/>
  <c r="IU58" i="65037"/>
  <c r="IA54" i="65037"/>
  <c r="IA65" i="65037"/>
  <c r="HO63" i="65037"/>
  <c r="HK65" i="65037"/>
  <c r="HS56" i="65037"/>
  <c r="GE78" i="65037"/>
  <c r="IE78" i="65037"/>
  <c r="HO60" i="65037"/>
  <c r="HC77" i="65037"/>
  <c r="HO74" i="65037"/>
  <c r="GE72" i="65037"/>
  <c r="HW67" i="65037"/>
  <c r="HS67" i="65037"/>
  <c r="IY78" i="65037"/>
  <c r="HO73" i="65037"/>
  <c r="GY61" i="65037"/>
  <c r="GY60" i="65037"/>
  <c r="FW73" i="65037"/>
  <c r="IE63" i="65037"/>
  <c r="GE66" i="65037"/>
  <c r="GU68" i="65037"/>
  <c r="HW60" i="65037"/>
  <c r="IQ62" i="65037"/>
  <c r="IQ60" i="65037"/>
  <c r="GU70" i="65037"/>
  <c r="IQ71" i="65037"/>
  <c r="II69" i="65037"/>
  <c r="FW66" i="65037"/>
  <c r="GI76" i="65037"/>
  <c r="IE69" i="65037"/>
  <c r="HK66" i="65037"/>
  <c r="GQ77" i="65037"/>
  <c r="GU72" i="65037"/>
  <c r="II78" i="65037"/>
  <c r="HG67" i="65037"/>
  <c r="IM63" i="65037"/>
  <c r="HS54" i="65037"/>
  <c r="IQ63" i="65037"/>
  <c r="HK74" i="65037"/>
  <c r="IE54" i="65037"/>
  <c r="IE56" i="65037"/>
  <c r="HK61" i="65037"/>
  <c r="GA65" i="65037"/>
  <c r="HK56" i="65037"/>
  <c r="HG77" i="65037"/>
  <c r="IE72" i="65037"/>
  <c r="GY73" i="65037"/>
  <c r="IE75" i="65037"/>
  <c r="HS70" i="65037"/>
  <c r="GY72" i="65037"/>
  <c r="GU62" i="65037"/>
  <c r="GY76" i="65037"/>
  <c r="FW72" i="65037"/>
  <c r="IA78" i="65037"/>
  <c r="GY67" i="65037"/>
  <c r="HC62" i="65037"/>
  <c r="GE67" i="65037"/>
  <c r="GQ70" i="65037"/>
  <c r="HW57" i="65037"/>
  <c r="FK71" i="65037"/>
  <c r="FO75" i="65037"/>
  <c r="IY67" i="65037"/>
  <c r="HG59" i="65037"/>
  <c r="HW72" i="65037"/>
  <c r="GQ75" i="65037"/>
  <c r="HS77" i="65037"/>
  <c r="GE75" i="65037"/>
  <c r="IU77" i="65037"/>
  <c r="FO68" i="65037"/>
  <c r="GU67" i="65037"/>
  <c r="GE76" i="65037"/>
  <c r="HO78" i="65037"/>
  <c r="GI69" i="65037"/>
  <c r="HG72" i="65037"/>
  <c r="IU72" i="65037"/>
  <c r="IM68" i="65037"/>
  <c r="IA70" i="65037"/>
  <c r="FO77" i="65037"/>
  <c r="FO78" i="65037"/>
  <c r="IY75" i="65037"/>
  <c r="HO56" i="65037"/>
  <c r="II77" i="65037"/>
  <c r="II76" i="65037"/>
  <c r="IY65" i="65037"/>
  <c r="HS58" i="65037"/>
  <c r="HK64" i="65037"/>
  <c r="II70" i="65037"/>
  <c r="IU70" i="65037"/>
  <c r="HW76" i="65037"/>
  <c r="IQ73" i="65037"/>
  <c r="IQ64" i="65037"/>
  <c r="HW71" i="65037"/>
  <c r="GA74" i="65037"/>
  <c r="GY71" i="65037"/>
  <c r="HW68" i="65037"/>
  <c r="HC60" i="65037"/>
  <c r="FO73" i="65037"/>
  <c r="HG73" i="65037"/>
  <c r="GY68" i="65037"/>
  <c r="GE71" i="65037"/>
  <c r="II66" i="65037"/>
  <c r="HS75" i="65037"/>
  <c r="IY60" i="65037"/>
  <c r="HW78" i="65037"/>
  <c r="HS60" i="65037"/>
  <c r="IU61" i="65037"/>
  <c r="FS73" i="65037"/>
  <c r="HC69" i="65037"/>
  <c r="IA64" i="65037"/>
  <c r="FS68" i="65037"/>
  <c r="HG58" i="65037"/>
  <c r="FW76" i="65037"/>
  <c r="IY76" i="65037"/>
  <c r="HW73" i="65037"/>
  <c r="HO59" i="65037"/>
  <c r="HG68" i="65037"/>
  <c r="GY70" i="65037"/>
  <c r="IM72" i="65037"/>
  <c r="IE57" i="65037"/>
  <c r="II64" i="65037"/>
  <c r="GQ73" i="65037"/>
  <c r="II65" i="65037"/>
  <c r="GI72" i="65037"/>
  <c r="IQ55" i="65037"/>
  <c r="HC63" i="65037"/>
  <c r="HG71" i="65037"/>
  <c r="GQ78" i="65037"/>
  <c r="IY70" i="65037"/>
  <c r="HG64" i="65037"/>
  <c r="HS61" i="65037"/>
  <c r="GI71" i="65037"/>
  <c r="GU63" i="65037"/>
  <c r="GA66" i="65037"/>
  <c r="HC64" i="65037"/>
  <c r="HK62" i="65037"/>
  <c r="FO74" i="65037"/>
  <c r="FW77" i="65037"/>
  <c r="HW66" i="65037"/>
  <c r="IA57" i="65037"/>
  <c r="GA70" i="65037"/>
  <c r="HG70" i="65037"/>
  <c r="IY77" i="65037"/>
  <c r="II56" i="65037"/>
  <c r="GI74" i="65037"/>
  <c r="HG61" i="65037"/>
  <c r="HO55" i="65037"/>
  <c r="HW75" i="65037"/>
  <c r="GM68" i="65037"/>
  <c r="HK68" i="65037"/>
  <c r="GE69" i="65037"/>
  <c r="GY78" i="65037"/>
  <c r="GQ62" i="65037"/>
  <c r="GU76" i="65037"/>
  <c r="FK75" i="65037"/>
  <c r="FO76" i="65037"/>
  <c r="GE68" i="65037"/>
  <c r="GU74" i="65037"/>
  <c r="GY69" i="65037"/>
  <c r="FS78" i="65037"/>
  <c r="HO70" i="65037"/>
  <c r="GM70" i="65037"/>
  <c r="IM57" i="65037"/>
  <c r="IA55" i="65037"/>
  <c r="GA71" i="65037"/>
  <c r="FS67" i="65037"/>
  <c r="GI78" i="65037"/>
  <c r="HC75" i="65037"/>
  <c r="GY77" i="65037"/>
  <c r="GI73" i="65037"/>
  <c r="IQ65" i="65037"/>
  <c r="HO62" i="65037"/>
  <c r="IQ78" i="65037"/>
  <c r="II75" i="65037"/>
  <c r="FS75" i="65037"/>
  <c r="IM69" i="65037"/>
  <c r="GQ63" i="65037"/>
  <c r="HK77" i="65037"/>
  <c r="GM66" i="65037"/>
  <c r="IU59" i="65037"/>
  <c r="IY61" i="65037"/>
  <c r="HO58" i="65037"/>
  <c r="HK78" i="65037"/>
  <c r="FK74" i="65037"/>
  <c r="FO69" i="65037"/>
  <c r="IQ61" i="65037"/>
  <c r="FK70" i="65037"/>
  <c r="IY73" i="65037"/>
  <c r="HW70" i="65037"/>
  <c r="FW74" i="65037"/>
  <c r="HW62" i="65037"/>
  <c r="FW70" i="65037"/>
  <c r="HK57" i="65037"/>
  <c r="GA72" i="65037"/>
  <c r="IQ68" i="65037"/>
  <c r="GU77" i="65037"/>
  <c r="IQ57" i="65037"/>
  <c r="HO64" i="65037"/>
  <c r="HO71" i="65037"/>
  <c r="GI77" i="65037"/>
  <c r="GQ76" i="65037"/>
  <c r="GM63" i="65037"/>
  <c r="GM65" i="65037"/>
  <c r="IE64" i="65037"/>
  <c r="IM55" i="65037"/>
  <c r="GM67" i="65037"/>
  <c r="GI65" i="65037"/>
  <c r="IQ66" i="65037"/>
  <c r="HS59" i="65037"/>
  <c r="HK75" i="65037"/>
  <c r="IQ72" i="65037"/>
  <c r="IY62" i="65037"/>
  <c r="IU67" i="65037"/>
  <c r="HS68" i="65037"/>
  <c r="IU64" i="65037"/>
  <c r="II63" i="65037"/>
  <c r="HC72" i="65037"/>
  <c r="II68" i="65037"/>
  <c r="HW63" i="65037"/>
  <c r="HW54" i="65037"/>
  <c r="IY71" i="65037"/>
  <c r="GU60" i="65037"/>
  <c r="GE77" i="65037"/>
  <c r="HS72" i="65037"/>
  <c r="IM74" i="65037"/>
  <c r="HG60" i="65037"/>
  <c r="HS57" i="65037"/>
  <c r="IY63" i="65037"/>
  <c r="II73" i="65037"/>
  <c r="GM64" i="65037"/>
  <c r="GM71" i="65037"/>
  <c r="HC67" i="65037"/>
  <c r="HG63" i="65037"/>
  <c r="GA75" i="65037"/>
  <c r="HS69" i="65037"/>
  <c r="GI66" i="65037"/>
  <c r="IM78" i="65037"/>
  <c r="IE66" i="65037"/>
  <c r="IQ74" i="65037"/>
  <c r="HO68" i="65037"/>
  <c r="IE70" i="65037"/>
  <c r="HO67" i="65037"/>
  <c r="HS66" i="65037"/>
  <c r="HK76" i="65037"/>
  <c r="GU61" i="65037"/>
  <c r="GA69" i="65037"/>
  <c r="IU56" i="65037"/>
  <c r="GM74" i="65037"/>
  <c r="HC58" i="65037"/>
  <c r="HC73" i="65037"/>
  <c r="GI68" i="65037"/>
  <c r="IM58" i="65037"/>
  <c r="GY66" i="65037"/>
  <c r="IM73" i="65037"/>
  <c r="IY64" i="65037"/>
  <c r="IY68" i="65037"/>
  <c r="IQ76" i="65037"/>
  <c r="HW59" i="65037"/>
  <c r="FW71" i="65037"/>
  <c r="GQ68" i="65037"/>
  <c r="HO77" i="65037"/>
  <c r="GY59" i="65037"/>
  <c r="IU71" i="65037"/>
  <c r="GU75" i="65037"/>
  <c r="HK59" i="65037"/>
  <c r="GE70" i="65037"/>
  <c r="FW78" i="65037"/>
  <c r="IM77" i="65037"/>
  <c r="IA77" i="65037"/>
  <c r="HC61" i="65037"/>
  <c r="HW56" i="65037"/>
  <c r="IM70" i="65037"/>
  <c r="IY66" i="65037"/>
  <c r="FW75" i="65037"/>
  <c r="FK78" i="65037"/>
  <c r="GU66" i="65037"/>
  <c r="II59" i="65037"/>
  <c r="GI67" i="65037"/>
  <c r="IA67" i="65037"/>
  <c r="IE65" i="65037"/>
  <c r="HO66" i="65037"/>
  <c r="IU76" i="65037"/>
  <c r="HC76" i="65037"/>
  <c r="FS76" i="65037"/>
  <c r="HG62" i="65037"/>
  <c r="FO71" i="65037"/>
  <c r="FO72" i="65037"/>
  <c r="IY69" i="65037"/>
  <c r="HK73" i="65037"/>
  <c r="HS55" i="65037"/>
  <c r="GI70" i="65037"/>
  <c r="IA72" i="65037"/>
  <c r="GU69" i="65037"/>
  <c r="IQ75" i="65037"/>
  <c r="HO76" i="65037"/>
  <c r="GY64" i="65037"/>
  <c r="FW68" i="65037"/>
  <c r="GQ61" i="65037"/>
  <c r="IQ70" i="65037"/>
  <c r="IM56" i="65037"/>
  <c r="HC66" i="65037"/>
  <c r="HO69" i="65037"/>
  <c r="HK72" i="65037"/>
  <c r="IU78" i="65037"/>
  <c r="IA62" i="65037"/>
  <c r="HC74" i="65037"/>
  <c r="FS70" i="65037"/>
  <c r="HO65" i="65037"/>
  <c r="HK58" i="65037"/>
  <c r="IA68" i="65037"/>
  <c r="GQ72" i="65037"/>
  <c r="HS65" i="65037"/>
  <c r="HK60" i="65037"/>
  <c r="II60" i="65037"/>
  <c r="HW65" i="65037"/>
  <c r="GU65" i="65037"/>
  <c r="IU63" i="65037"/>
  <c r="HG76" i="65037"/>
  <c r="IM66" i="65037"/>
  <c r="IA61" i="65037"/>
  <c r="IQ56" i="65037"/>
  <c r="GE64" i="65037"/>
  <c r="HK71" i="65037"/>
  <c r="IQ67" i="65037"/>
  <c r="HS62" i="65037"/>
  <c r="GE65" i="65037"/>
  <c r="IY57" i="65037"/>
  <c r="IQ77" i="65037"/>
  <c r="IE67" i="65037"/>
  <c r="IA71" i="65037"/>
  <c r="II57" i="65037"/>
  <c r="IE76" i="65037"/>
  <c r="IU55" i="65037"/>
  <c r="IM61" i="65037"/>
  <c r="HC70" i="65037"/>
  <c r="FK73" i="65037"/>
  <c r="FO70" i="65037"/>
  <c r="IM62" i="65037"/>
  <c r="HS63" i="65037"/>
  <c r="HG78" i="65037"/>
  <c r="IE71" i="65037"/>
  <c r="GA77" i="65037"/>
  <c r="IE73" i="65037"/>
  <c r="FK76" i="65037"/>
  <c r="GY74" i="65037"/>
  <c r="GY65" i="65037"/>
  <c r="IM59" i="65037"/>
  <c r="IE59" i="65037"/>
  <c r="HW64" i="65037"/>
  <c r="IM71" i="65037"/>
  <c r="FK72" i="65037"/>
  <c r="GM69" i="65037"/>
  <c r="HK70" i="65037"/>
  <c r="GU78" i="65037"/>
  <c r="IA73" i="65037"/>
  <c r="GQ66" i="65037"/>
  <c r="HS78" i="65037"/>
  <c r="FK77" i="65037"/>
  <c r="HC71" i="65037"/>
  <c r="II54" i="65037"/>
  <c r="IE68" i="65037"/>
  <c r="IU69" i="65037"/>
  <c r="GM77" i="65037"/>
  <c r="IU57" i="65037"/>
  <c r="GM62" i="65037"/>
  <c r="IE62" i="65037"/>
  <c r="HK63" i="65037"/>
  <c r="GQ71" i="65037"/>
  <c r="HS73" i="65037"/>
  <c r="HS71" i="65037"/>
  <c r="IU68" i="65037"/>
  <c r="HW77" i="65037"/>
  <c r="IY74" i="65037"/>
  <c r="IE77" i="65037"/>
  <c r="IU74" i="65037"/>
  <c r="HC65" i="65037"/>
  <c r="GM72" i="65037"/>
  <c r="IE74" i="65037"/>
  <c r="HG57" i="65037"/>
  <c r="HG66" i="65037"/>
  <c r="II71" i="65037"/>
  <c r="IQ69" i="65037"/>
  <c r="GA76" i="65037"/>
  <c r="HO72" i="65037"/>
  <c r="HW74" i="65037"/>
  <c r="HW55" i="65037"/>
  <c r="HO57" i="65037"/>
  <c r="II58" i="65037"/>
  <c r="GY63" i="65037"/>
  <c r="II55" i="65037"/>
  <c r="IA76" i="65037"/>
  <c r="GQ65" i="65037"/>
  <c r="GE74" i="65037"/>
  <c r="FK69" i="65037"/>
  <c r="HO61" i="65037"/>
  <c r="GI75" i="65037"/>
  <c r="II61" i="65037"/>
  <c r="FS77" i="65037"/>
  <c r="GM78" i="65037"/>
  <c r="GU64" i="65037"/>
  <c r="IU65" i="65037"/>
  <c r="GQ74" i="65037"/>
  <c r="GA73" i="65037"/>
  <c r="HC68" i="65037"/>
  <c r="IE61" i="65037"/>
  <c r="II74" i="65037"/>
  <c r="IQ54" i="65037"/>
  <c r="IQ59" i="65037"/>
  <c r="IA56" i="65037"/>
  <c r="HS64" i="65037"/>
  <c r="IA74" i="65037"/>
  <c r="GQ64" i="65037"/>
  <c r="GI64" i="65037"/>
  <c r="GQ69" i="65037"/>
  <c r="FS72" i="65037"/>
  <c r="HG69" i="65037"/>
  <c r="IU73" i="65037"/>
  <c r="IA69" i="65037"/>
  <c r="HW61" i="65037"/>
  <c r="FS71" i="65037"/>
  <c r="FW67" i="65037"/>
  <c r="IE58" i="65037"/>
  <c r="HK69" i="65037"/>
  <c r="IA63" i="65037"/>
  <c r="IM65" i="65037"/>
  <c r="FS74" i="65037"/>
  <c r="IY56" i="65037"/>
  <c r="IE60" i="65037"/>
  <c r="IA66" i="65037"/>
  <c r="HO75" i="65037"/>
  <c r="GE73" i="65037"/>
  <c r="HG75" i="65037"/>
  <c r="GQ67" i="65037"/>
  <c r="II72" i="65037"/>
  <c r="IA60" i="65037"/>
  <c r="IM54" i="65037"/>
  <c r="HW69" i="65037"/>
  <c r="FW69" i="65037"/>
  <c r="IU75" i="65037"/>
  <c r="HG65" i="65037"/>
  <c r="IY55" i="65037"/>
  <c r="GA68" i="65037"/>
  <c r="IM67" i="65037"/>
  <c r="GM76" i="65037"/>
  <c r="HS76" i="65037"/>
  <c r="IA58" i="65037"/>
  <c r="GU71" i="65037"/>
  <c r="GM75" i="65037"/>
  <c r="IU66" i="65037"/>
  <c r="HG74" i="65037"/>
  <c r="HC59" i="65037"/>
  <c r="GU73" i="65037"/>
  <c r="II67" i="65037"/>
  <c r="HS74" i="65037"/>
  <c r="IM75" i="65037"/>
  <c r="II62" i="65037"/>
  <c r="IM60" i="65037"/>
  <c r="IA59" i="65037"/>
  <c r="HO54" i="65037"/>
  <c r="GI62" i="65037"/>
  <c r="GM61" i="65037"/>
  <c r="HG56" i="65037"/>
  <c r="FO67" i="65037"/>
  <c r="FW65" i="65037"/>
  <c r="GU59" i="65037"/>
  <c r="HC57" i="65037"/>
  <c r="FS66" i="65037"/>
  <c r="GQ60" i="65037"/>
  <c r="GA64" i="65037"/>
  <c r="HK55" i="65037"/>
  <c r="GE63" i="65037"/>
  <c r="FK68" i="65037"/>
  <c r="GY58" i="65037"/>
  <c r="HG55" i="65037"/>
  <c r="FO66" i="65037"/>
  <c r="FK67" i="65037"/>
  <c r="FS65" i="65037"/>
  <c r="HC56" i="65037"/>
  <c r="FW64" i="65037"/>
  <c r="GM60" i="65037"/>
  <c r="GY57" i="65037"/>
  <c r="GQ59" i="65037"/>
  <c r="GU58" i="65037"/>
  <c r="HK54" i="65037"/>
  <c r="GA63" i="65037"/>
  <c r="GE62" i="65037"/>
  <c r="GI61" i="65037"/>
  <c r="HG54" i="65037"/>
  <c r="GY56" i="65037"/>
  <c r="GI60" i="65037"/>
  <c r="FK66" i="65037"/>
  <c r="FO65" i="65037"/>
  <c r="GM59" i="65037"/>
  <c r="GU57" i="65037"/>
  <c r="FW63" i="65037"/>
  <c r="HC55" i="65037"/>
  <c r="FS64" i="65037"/>
  <c r="GQ58" i="65037"/>
  <c r="GE61" i="65037"/>
  <c r="GA62" i="65037"/>
  <c r="GQ57" i="65037"/>
  <c r="FK65" i="65037"/>
  <c r="GI59" i="65037"/>
  <c r="GU56" i="65037"/>
  <c r="GA61" i="65037"/>
  <c r="GE60" i="65037"/>
  <c r="FS63" i="65037"/>
  <c r="FO64" i="65037"/>
  <c r="HC54" i="65037"/>
  <c r="FW62" i="65037"/>
  <c r="GY55" i="65037"/>
  <c r="GM58" i="65037"/>
  <c r="GQ56" i="65037"/>
  <c r="FS62" i="65037"/>
  <c r="GU55" i="65037"/>
  <c r="FK64" i="65037"/>
  <c r="GA60" i="65037"/>
  <c r="FO63" i="65037"/>
  <c r="GM57" i="65037"/>
  <c r="GI58" i="65037"/>
  <c r="GE59" i="65037"/>
  <c r="GY54" i="65037"/>
  <c r="FW61" i="65037"/>
  <c r="GM56" i="65037"/>
  <c r="FW60" i="65037"/>
  <c r="FS61" i="65037"/>
  <c r="GU54" i="65037"/>
  <c r="FK63" i="65037"/>
  <c r="GQ55" i="65037"/>
  <c r="GA59" i="65037"/>
  <c r="GI57" i="65037"/>
  <c r="FO62" i="65037"/>
  <c r="GE58" i="65037"/>
  <c r="GQ54" i="65037"/>
  <c r="GE57" i="65037"/>
  <c r="GI56" i="65037"/>
  <c r="GM55" i="65037"/>
  <c r="FK62" i="65037"/>
  <c r="FO61" i="65037"/>
  <c r="FS60" i="65037"/>
  <c r="FW59" i="65037"/>
  <c r="GA58" i="65037"/>
  <c r="FD67" i="65037" l="1"/>
  <c r="EX67" i="65037" s="1"/>
  <c r="R38" i="65037" s="1"/>
  <c r="AT38" i="65037" s="1"/>
  <c r="AS38" i="65037" s="1"/>
  <c r="FD66" i="65037"/>
  <c r="EX66" i="65037" s="1"/>
  <c r="R37" i="65037" s="1"/>
  <c r="FD65" i="65037"/>
  <c r="EX65" i="65037" s="1"/>
  <c r="R36" i="65037" s="1"/>
  <c r="FD64" i="65037"/>
  <c r="EX64" i="65037" s="1"/>
  <c r="R35" i="65037" s="1"/>
  <c r="FD63" i="65037"/>
  <c r="EX63" i="65037" s="1"/>
  <c r="R34" i="65037" s="1"/>
  <c r="AN34" i="65037" s="1"/>
  <c r="AO34" i="65037" s="1"/>
  <c r="CR34" i="65037" s="1"/>
  <c r="FD62" i="65037"/>
  <c r="EX62" i="65037" s="1"/>
  <c r="R33" i="65037" s="1"/>
  <c r="AN33" i="65037" s="1"/>
  <c r="AO33" i="65037" s="1"/>
  <c r="CR33" i="65037" s="1"/>
  <c r="EE190" i="65037"/>
  <c r="EC190" i="65037" s="1"/>
  <c r="EB190" i="65037" s="1"/>
  <c r="DZ190" i="65037" s="1"/>
  <c r="EE185" i="65037"/>
  <c r="EC185" i="65037" s="1"/>
  <c r="EB185" i="65037" s="1"/>
  <c r="DZ185" i="65037" s="1"/>
  <c r="EE187" i="65037"/>
  <c r="EC187" i="65037" s="1"/>
  <c r="EB187" i="65037" s="1"/>
  <c r="DZ187" i="65037" s="1"/>
  <c r="EE188" i="65037"/>
  <c r="EC188" i="65037" s="1"/>
  <c r="EB188" i="65037" s="1"/>
  <c r="DZ188" i="65037" s="1"/>
  <c r="EE189" i="65037"/>
  <c r="EC189" i="65037" s="1"/>
  <c r="EB189" i="65037" s="1"/>
  <c r="DZ189" i="65037" s="1"/>
  <c r="EE186" i="65037"/>
  <c r="EC186" i="65037" s="1"/>
  <c r="EB186" i="65037" s="1"/>
  <c r="DZ186" i="65037" s="1"/>
  <c r="EE184" i="65037"/>
  <c r="EC184" i="65037" s="1"/>
  <c r="EB184" i="65037" s="1"/>
  <c r="DZ184" i="65037" s="1"/>
  <c r="S38" i="65037" l="1"/>
  <c r="T38" i="65037"/>
  <c r="AN38" i="65037"/>
  <c r="AO38" i="65037" s="1"/>
  <c r="CR38" i="65037" s="1"/>
  <c r="AN37" i="65037"/>
  <c r="AO37" i="65037" s="1"/>
  <c r="CR37" i="65037" s="1"/>
  <c r="AT37" i="65037"/>
  <c r="AS37" i="65037" s="1"/>
  <c r="S37" i="65037"/>
  <c r="T37" i="65037"/>
  <c r="AN36" i="65037"/>
  <c r="AO36" i="65037" s="1"/>
  <c r="CR36" i="65037" s="1"/>
  <c r="AT36" i="65037"/>
  <c r="AS36" i="65037" s="1"/>
  <c r="T36" i="65037"/>
  <c r="S36" i="65037"/>
  <c r="T33" i="65037"/>
  <c r="AT33" i="65037"/>
  <c r="AS33" i="65037" s="1"/>
  <c r="AN35" i="65037"/>
  <c r="AO35" i="65037" s="1"/>
  <c r="CR35" i="65037" s="1"/>
  <c r="S35" i="65037"/>
  <c r="AT35" i="65037"/>
  <c r="AS35" i="65037" s="1"/>
  <c r="T35" i="65037"/>
  <c r="T34" i="65037"/>
  <c r="S34" i="65037"/>
  <c r="S33" i="65037"/>
  <c r="AT34" i="65037"/>
  <c r="AS34" i="65037" s="1"/>
  <c r="AE34" i="65037"/>
  <c r="AE33" i="65037"/>
  <c r="AE36" i="65037" l="1"/>
  <c r="AF36" i="65037" s="1"/>
  <c r="FH123" i="65037" s="1"/>
  <c r="AE35" i="65037"/>
  <c r="AF35" i="65037" s="1"/>
  <c r="FH122" i="65037" s="1"/>
  <c r="FS125" i="65037" s="1"/>
  <c r="AE38" i="65037"/>
  <c r="AF38" i="65037" s="1"/>
  <c r="FH125" i="65037" s="1"/>
  <c r="AE37" i="65037"/>
  <c r="AF37" i="65037" s="1"/>
  <c r="FH124" i="65037" s="1"/>
  <c r="FK125" i="65037" s="1"/>
  <c r="AF34" i="65037"/>
  <c r="GI126" i="65037"/>
  <c r="GM127" i="65037"/>
  <c r="GU129" i="65037"/>
  <c r="HG132" i="65037"/>
  <c r="GY130" i="65037"/>
  <c r="HG136" i="65037"/>
  <c r="HC135" i="65037"/>
  <c r="GU133" i="65037"/>
  <c r="HC131" i="65037"/>
  <c r="GQ128" i="65037"/>
  <c r="GY134" i="65037"/>
  <c r="AF33" i="65037"/>
  <c r="FH120" i="65037" s="1"/>
  <c r="GY128" i="65037"/>
  <c r="HC129" i="65037"/>
  <c r="HK131" i="65037"/>
  <c r="GQ126" i="65037"/>
  <c r="HC133" i="65037"/>
  <c r="GU127" i="65037"/>
  <c r="HG134" i="65037"/>
  <c r="HO136" i="65037"/>
  <c r="HK135" i="65037"/>
  <c r="HO132" i="65037"/>
  <c r="HG130" i="65037"/>
  <c r="HO134" i="65037"/>
  <c r="HK133" i="65037"/>
  <c r="GY126" i="65037"/>
  <c r="HO130" i="65037"/>
  <c r="HK129" i="65037"/>
  <c r="HS135" i="65037"/>
  <c r="HC127" i="65037"/>
  <c r="HS131" i="65037"/>
  <c r="HW132" i="65037"/>
  <c r="HG128" i="65037"/>
  <c r="HW136" i="65037"/>
  <c r="HO131" i="65037"/>
  <c r="HG129" i="65037"/>
  <c r="HS132" i="65037"/>
  <c r="HC128" i="65037"/>
  <c r="HO135" i="65037"/>
  <c r="HK130" i="65037"/>
  <c r="HS136" i="65037"/>
  <c r="HG133" i="65037"/>
  <c r="GU126" i="65037"/>
  <c r="GY127" i="65037"/>
  <c r="HK134" i="65037"/>
  <c r="BF38" i="65037" l="1"/>
  <c r="BW37" i="65037" s="1"/>
  <c r="BI37" i="65037" s="1"/>
  <c r="BH37" i="65037" s="1"/>
  <c r="BG37" i="65037" s="1"/>
  <c r="BF37" i="65037" s="1"/>
  <c r="BV36" i="65037" s="1"/>
  <c r="BI36" i="65037" s="1"/>
  <c r="BH36" i="65037" s="1"/>
  <c r="BG36" i="65037" s="1"/>
  <c r="BF36" i="65037" s="1"/>
  <c r="BU35" i="65037" s="1"/>
  <c r="BI35" i="65037" s="1"/>
  <c r="BH35" i="65037" s="1"/>
  <c r="BG35" i="65037" s="1"/>
  <c r="BF35" i="65037" s="1"/>
  <c r="BT34" i="65037" s="1"/>
  <c r="BI34" i="65037" s="1"/>
  <c r="BH34" i="65037" s="1"/>
  <c r="BG34" i="65037" s="1"/>
  <c r="BF34" i="65037" s="1"/>
  <c r="BC34" i="65037" s="1"/>
  <c r="FK124" i="65037"/>
  <c r="FO125" i="65037"/>
  <c r="BC37" i="65037"/>
  <c r="FK123" i="65037"/>
  <c r="FO124" i="65037"/>
  <c r="BC36" i="65037"/>
  <c r="BC35" i="65037"/>
  <c r="FH121" i="65037"/>
  <c r="HW135" i="65037"/>
  <c r="HG127" i="65037"/>
  <c r="HW131" i="65037"/>
  <c r="IA136" i="65037"/>
  <c r="IA132" i="65037"/>
  <c r="HS130" i="65037"/>
  <c r="HK128" i="65037"/>
  <c r="HO133" i="65037"/>
  <c r="HC126" i="65037"/>
  <c r="HS134" i="65037"/>
  <c r="HO129" i="65037"/>
  <c r="HC134" i="65037"/>
  <c r="HC130" i="65037"/>
  <c r="GU128" i="65037"/>
  <c r="HK136" i="65037"/>
  <c r="HG135" i="65037"/>
  <c r="GY133" i="65037"/>
  <c r="HG131" i="65037"/>
  <c r="GM126" i="65037"/>
  <c r="GQ127" i="65037"/>
  <c r="HK132" i="65037"/>
  <c r="GY129" i="65037"/>
  <c r="HS133" i="65037"/>
  <c r="HG126" i="65037"/>
  <c r="HW130" i="65037"/>
  <c r="HO128" i="65037"/>
  <c r="HW134" i="65037"/>
  <c r="IA135" i="65037"/>
  <c r="IE132" i="65037"/>
  <c r="HS129" i="65037"/>
  <c r="IA131" i="65037"/>
  <c r="HK127" i="65037"/>
  <c r="IE136" i="65037"/>
  <c r="IA134" i="65037"/>
  <c r="IE135" i="65037"/>
  <c r="IA130" i="65037"/>
  <c r="II132" i="65037"/>
  <c r="HW129" i="65037"/>
  <c r="HS128" i="65037"/>
  <c r="HO127" i="65037"/>
  <c r="HW133" i="65037"/>
  <c r="HK126" i="65037"/>
  <c r="IE131" i="65037"/>
  <c r="II136" i="65037"/>
  <c r="GQ129" i="65037"/>
  <c r="GY135" i="65037"/>
  <c r="FK121" i="65037"/>
  <c r="GY131" i="65037"/>
  <c r="GU130" i="65037"/>
  <c r="GQ133" i="65037"/>
  <c r="HC132" i="65037"/>
  <c r="FS123" i="65037"/>
  <c r="HC136" i="65037"/>
  <c r="GE126" i="65037"/>
  <c r="FO122" i="65037"/>
  <c r="FW124" i="65037"/>
  <c r="GI127" i="65037"/>
  <c r="GA125" i="65037"/>
  <c r="GU134" i="65037"/>
  <c r="GM128" i="65037"/>
  <c r="BC38" i="65037" l="1"/>
  <c r="BS33" i="65037"/>
  <c r="BI33" i="65037" s="1"/>
  <c r="BH33" i="65037" s="1"/>
  <c r="GY136" i="65037"/>
  <c r="FE136" i="65037" s="1"/>
  <c r="GA126" i="65037"/>
  <c r="FE126" i="65037" s="1"/>
  <c r="FD126" i="65037" s="1"/>
  <c r="FO123" i="65037"/>
  <c r="GY132" i="65037"/>
  <c r="FE132" i="65037" s="1"/>
  <c r="FW125" i="65037"/>
  <c r="FS124" i="65037"/>
  <c r="GU131" i="65037"/>
  <c r="FE131" i="65037" s="1"/>
  <c r="GM129" i="65037"/>
  <c r="FE129" i="65037" s="1"/>
  <c r="GE127" i="65037"/>
  <c r="FE127" i="65037" s="1"/>
  <c r="FD127" i="65037" s="1"/>
  <c r="GQ130" i="65037"/>
  <c r="FE130" i="65037" s="1"/>
  <c r="GQ134" i="65037"/>
  <c r="FE134" i="65037" s="1"/>
  <c r="FK122" i="65037"/>
  <c r="GU135" i="65037"/>
  <c r="FE135" i="65037" s="1"/>
  <c r="GI128" i="65037"/>
  <c r="FE128" i="65037" s="1"/>
  <c r="FD128" i="65037" s="1"/>
  <c r="AI41" i="65037" s="1"/>
  <c r="AJ41" i="65037" s="1"/>
  <c r="CR71" i="65037" s="1"/>
  <c r="GM133" i="65037"/>
  <c r="FE133" i="65037" s="1"/>
  <c r="FD133" i="65037" s="1"/>
  <c r="BG33" i="65037" l="1"/>
  <c r="BF33" i="65037" l="1"/>
  <c r="BC33" i="65037" s="1"/>
  <c r="BR32" i="65037" l="1"/>
  <c r="BI32" i="65037" s="1"/>
  <c r="BH32" i="65037" s="1"/>
  <c r="BG32" i="65037" l="1"/>
  <c r="AK92" i="65052" l="1"/>
  <c r="AK89" i="65052"/>
  <c r="AK93" i="65052"/>
  <c r="AK91" i="65052"/>
  <c r="AK90" i="65052"/>
  <c r="AK88" i="65052"/>
  <c r="AK87" i="65052"/>
  <c r="AL93" i="65052" l="1"/>
  <c r="AP93" i="65052" s="1"/>
  <c r="AO93" i="65052" s="1"/>
  <c r="AM93" i="65052"/>
  <c r="AN93" i="65052" s="1"/>
  <c r="AM91" i="65052"/>
  <c r="AN91" i="65052" s="1"/>
  <c r="AL91" i="65052"/>
  <c r="AL88" i="65052"/>
  <c r="AP88" i="65052"/>
  <c r="AO88" i="65052" s="1"/>
  <c r="AM88" i="65052"/>
  <c r="AN88" i="65052" s="1"/>
  <c r="AM89" i="65052"/>
  <c r="AN89" i="65052" s="1"/>
  <c r="AL89" i="65052"/>
  <c r="AM87" i="65052"/>
  <c r="AN87" i="65052" s="1"/>
  <c r="AL87" i="65052"/>
  <c r="AL90" i="65052"/>
  <c r="AP90" i="65052" s="1"/>
  <c r="AO90" i="65052" s="1"/>
  <c r="AM90" i="65052"/>
  <c r="AN90" i="65052" s="1"/>
  <c r="AM92" i="65052"/>
  <c r="AN92" i="65052" s="1"/>
  <c r="AL92" i="65052"/>
  <c r="AP92" i="65052" l="1"/>
  <c r="AO92" i="65052" s="1"/>
  <c r="AP89" i="65052"/>
  <c r="AO89" i="65052" s="1"/>
  <c r="AP87" i="65052"/>
  <c r="AO87" i="65052" s="1"/>
  <c r="AP91" i="65052"/>
  <c r="AO91" i="65052" s="1"/>
  <c r="BC25" i="65037" l="1"/>
  <c r="AT54" i="65037" l="1"/>
  <c r="AT57" i="65037"/>
  <c r="AD33" i="65037" l="1"/>
  <c r="N33" i="65037" s="1"/>
  <c r="AD34" i="65037"/>
  <c r="AX35" i="65037" s="1"/>
  <c r="AD32" i="65037"/>
  <c r="AX33" i="65037" s="1"/>
  <c r="Q40" i="65037"/>
  <c r="FE69" i="65037" s="1"/>
  <c r="AW102" i="65037"/>
  <c r="AY102" i="65037" s="1"/>
  <c r="AX102" i="65037" s="1"/>
  <c r="BC26" i="65037"/>
  <c r="BC27" i="65037"/>
  <c r="BC28" i="65037"/>
  <c r="BC29" i="65037"/>
  <c r="BC30" i="65037"/>
  <c r="BC31" i="65037"/>
  <c r="BC32" i="65037"/>
  <c r="FD121" i="65037"/>
  <c r="N34" i="65037" l="1"/>
  <c r="N24" i="65037" s="1"/>
  <c r="P31" i="65037" s="1"/>
  <c r="AX34" i="65037"/>
  <c r="BE33" i="65037"/>
  <c r="BE35" i="65037"/>
  <c r="AD35" i="65037" s="1"/>
  <c r="BE34" i="65037"/>
  <c r="AJ34" i="65037" s="1"/>
  <c r="CR64" i="65037" s="1"/>
  <c r="AY34" i="65037" l="1"/>
  <c r="AG82" i="65052"/>
  <c r="AY33" i="65037"/>
  <c r="P32" i="65037"/>
  <c r="Q32" i="65037" s="1"/>
  <c r="ES61" i="65037" s="1"/>
  <c r="P30" i="65037"/>
  <c r="AX36" i="65037"/>
  <c r="P29" i="65037"/>
  <c r="P48" i="65037"/>
  <c r="P37" i="65037"/>
  <c r="P41" i="65037"/>
  <c r="P28" i="65037"/>
  <c r="P36" i="65037"/>
  <c r="P49" i="65037"/>
  <c r="P44" i="65037"/>
  <c r="P27" i="65037"/>
  <c r="P47" i="65037"/>
  <c r="P43" i="65037"/>
  <c r="P45" i="65037"/>
  <c r="P33" i="65037"/>
  <c r="P40" i="65037"/>
  <c r="AZ101" i="65037"/>
  <c r="P39" i="65037"/>
  <c r="P42" i="65037"/>
  <c r="P38" i="65037"/>
  <c r="P34" i="65037"/>
  <c r="P46" i="65037"/>
  <c r="P35" i="65037"/>
  <c r="P26" i="65037"/>
  <c r="P25" i="65037"/>
  <c r="AY35" i="65037" l="1"/>
  <c r="FE61" i="65037"/>
  <c r="FD61" i="65037" s="1"/>
  <c r="EX61" i="65037" s="1"/>
  <c r="R32" i="65037" s="1"/>
  <c r="BE36" i="65037"/>
  <c r="AD36" i="65037" s="1"/>
  <c r="AH82" i="65052"/>
  <c r="AI82" i="65052" s="1"/>
  <c r="GA56" i="65037" l="1"/>
  <c r="FO59" i="65037"/>
  <c r="FW57" i="65037"/>
  <c r="GE55" i="65037"/>
  <c r="GI54" i="65037"/>
  <c r="FS58" i="65037"/>
  <c r="FK60" i="65037"/>
  <c r="AX37" i="65037"/>
  <c r="AN32" i="65037"/>
  <c r="AO32" i="65037" s="1"/>
  <c r="CR32" i="65037" s="1"/>
  <c r="AT32" i="65037"/>
  <c r="AS32" i="65037" s="1"/>
  <c r="S32" i="65037"/>
  <c r="T32" i="65037"/>
  <c r="AY36" i="65037" l="1"/>
  <c r="BE37" i="65037"/>
  <c r="AD37" i="65037" s="1"/>
  <c r="AE32" i="65037"/>
  <c r="AX38" i="65037" l="1"/>
  <c r="AF32" i="65037"/>
  <c r="AY37" i="65037" l="1"/>
  <c r="BE38" i="65037"/>
  <c r="AD38" i="65037" s="1"/>
  <c r="BF32" i="65037"/>
  <c r="FH119" i="65037"/>
  <c r="AY38" i="65037" l="1"/>
  <c r="GA124" i="65037"/>
  <c r="GE125" i="65037"/>
  <c r="FS122" i="65037"/>
  <c r="FW123" i="65037"/>
  <c r="FK120" i="65037"/>
  <c r="FO121" i="65037"/>
  <c r="BQ31" i="65037"/>
  <c r="BI31" i="65037" s="1"/>
  <c r="BH31" i="65037" s="1"/>
  <c r="BE32" i="65037" l="1"/>
  <c r="AD31" i="65037"/>
  <c r="BG31" i="65037"/>
  <c r="AY32" i="65037" l="1"/>
  <c r="AG80" i="65052"/>
  <c r="AX32" i="65037"/>
  <c r="Q31" i="65037"/>
  <c r="ES60" i="65037" l="1"/>
  <c r="FE60" i="65037"/>
  <c r="AH80" i="65052"/>
  <c r="AI80" i="65052" s="1"/>
  <c r="FK59" i="65037" l="1"/>
  <c r="FO58" i="65037"/>
  <c r="GA55" i="65037"/>
  <c r="FW56" i="65037"/>
  <c r="GE54" i="65037"/>
  <c r="FS57" i="65037"/>
  <c r="FD60" i="65037"/>
  <c r="EX60" i="65037" s="1"/>
  <c r="R31" i="65037" s="1"/>
  <c r="AN31" i="65037" l="1"/>
  <c r="AO31" i="65037" s="1"/>
  <c r="CR31" i="65037" s="1"/>
  <c r="S31" i="65037"/>
  <c r="AT31" i="65037"/>
  <c r="AS31" i="65037" s="1"/>
  <c r="T31" i="65037"/>
  <c r="AE31" i="65037" l="1"/>
  <c r="AF31" i="65037" l="1"/>
  <c r="FH118" i="65037" l="1"/>
  <c r="BF31" i="65037"/>
  <c r="GE124" i="65037" l="1"/>
  <c r="GI125" i="65037"/>
  <c r="FW122" i="65037"/>
  <c r="GA123" i="65037"/>
  <c r="BP30" i="65037"/>
  <c r="BI30" i="65037" s="1"/>
  <c r="BH30" i="65037" s="1"/>
  <c r="FK119" i="65037"/>
  <c r="FO120" i="65037"/>
  <c r="FS121" i="65037"/>
  <c r="BE31" i="65037" l="1"/>
  <c r="BG30" i="65037"/>
  <c r="AD30" i="65037"/>
  <c r="AY31" i="65037" l="1"/>
  <c r="AG79" i="65052"/>
  <c r="AX31" i="65037"/>
  <c r="Q30" i="65037"/>
  <c r="FE59" i="65037" l="1"/>
  <c r="FD59" i="65037" s="1"/>
  <c r="ES59" i="65037"/>
  <c r="AH79" i="65052"/>
  <c r="AI79" i="65052" s="1"/>
  <c r="EX59" i="65037" l="1"/>
  <c r="R30" i="65037" s="1"/>
  <c r="FK58" i="65037"/>
  <c r="FD58" i="65037" s="1"/>
  <c r="EX58" i="65037" s="1"/>
  <c r="R29" i="65037" s="1"/>
  <c r="FW55" i="65037"/>
  <c r="FD55" i="65037" s="1"/>
  <c r="EX55" i="65037" s="1"/>
  <c r="R26" i="65037" s="1"/>
  <c r="FS56" i="65037"/>
  <c r="FD56" i="65037" s="1"/>
  <c r="EX56" i="65037" s="1"/>
  <c r="R27" i="65037" s="1"/>
  <c r="GA54" i="65037"/>
  <c r="FD54" i="65037" s="1"/>
  <c r="EX54" i="65037" s="1"/>
  <c r="R25" i="65037" s="1"/>
  <c r="FO57" i="65037"/>
  <c r="FD57" i="65037" s="1"/>
  <c r="EX57" i="65037" s="1"/>
  <c r="R28" i="65037" s="1"/>
  <c r="J58" i="65052" l="1"/>
  <c r="J59" i="65052"/>
  <c r="EE183" i="65037"/>
  <c r="EC183" i="65037" s="1"/>
  <c r="EB183" i="65037" s="1"/>
  <c r="DZ183" i="65037" s="1"/>
  <c r="EE182" i="65037"/>
  <c r="EC182" i="65037" s="1"/>
  <c r="EB182" i="65037" s="1"/>
  <c r="DZ182" i="65037" s="1"/>
  <c r="EE181" i="65037"/>
  <c r="EC181" i="65037" s="1"/>
  <c r="EB181" i="65037" s="1"/>
  <c r="DZ181" i="65037" s="1"/>
  <c r="EE180" i="65037"/>
  <c r="EC180" i="65037" s="1"/>
  <c r="EB180" i="65037" s="1"/>
  <c r="DZ180" i="65037" s="1"/>
  <c r="AN27" i="65037"/>
  <c r="AO27" i="65037" s="1"/>
  <c r="CR27" i="65037" s="1"/>
  <c r="T27" i="65037"/>
  <c r="AT27" i="65037"/>
  <c r="AS27" i="65037" s="1"/>
  <c r="S27" i="65037"/>
  <c r="AN26" i="65037"/>
  <c r="AO26" i="65037" s="1"/>
  <c r="CR26" i="65037" s="1"/>
  <c r="S26" i="65037"/>
  <c r="T26" i="65037"/>
  <c r="AT26" i="65037"/>
  <c r="AS26" i="65037" s="1"/>
  <c r="AN28" i="65037"/>
  <c r="AO28" i="65037" s="1"/>
  <c r="CR28" i="65037" s="1"/>
  <c r="AT28" i="65037"/>
  <c r="AS28" i="65037" s="1"/>
  <c r="S28" i="65037"/>
  <c r="T28" i="65037"/>
  <c r="AN29" i="65037"/>
  <c r="AO29" i="65037" s="1"/>
  <c r="CR29" i="65037" s="1"/>
  <c r="S29" i="65037"/>
  <c r="AT29" i="65037"/>
  <c r="AS29" i="65037" s="1"/>
  <c r="T29" i="65037"/>
  <c r="AN25" i="65037"/>
  <c r="AO25" i="65037" s="1"/>
  <c r="CR25" i="65037" s="1"/>
  <c r="AU15" i="65037"/>
  <c r="EE170" i="65037"/>
  <c r="EE171" i="65037"/>
  <c r="EE172" i="65037"/>
  <c r="EE173" i="65037"/>
  <c r="EE174" i="65037"/>
  <c r="EE175" i="65037"/>
  <c r="EE176" i="65037"/>
  <c r="EE177" i="65037"/>
  <c r="EE178" i="65037"/>
  <c r="EE179" i="65037"/>
  <c r="AW15" i="65037"/>
  <c r="T25" i="65037"/>
  <c r="S25" i="65037"/>
  <c r="AT25" i="65037"/>
  <c r="AS25" i="65037" s="1"/>
  <c r="AN30" i="65037"/>
  <c r="AO30" i="65037" s="1"/>
  <c r="CR30" i="65037" s="1"/>
  <c r="S30" i="65037"/>
  <c r="AT30" i="65037"/>
  <c r="AS30" i="65037" s="1"/>
  <c r="T30" i="65037"/>
  <c r="AG59" i="65052" l="1"/>
  <c r="M59" i="65052"/>
  <c r="O59" i="65052" s="1"/>
  <c r="M58" i="65052"/>
  <c r="O58" i="65052" s="1"/>
  <c r="AG58" i="65052"/>
  <c r="AE30" i="65037"/>
  <c r="AF30" i="65037" s="1"/>
  <c r="AE25" i="65037"/>
  <c r="AF25" i="65037" s="1"/>
  <c r="FH112" i="65037" s="1"/>
  <c r="EC178" i="65037"/>
  <c r="EB178" i="65037" s="1"/>
  <c r="DZ178" i="65037" s="1"/>
  <c r="EC174" i="65037"/>
  <c r="EB174" i="65037" s="1"/>
  <c r="DZ174" i="65037" s="1"/>
  <c r="EC170" i="65037"/>
  <c r="EB170" i="65037" s="1"/>
  <c r="DZ170" i="65037" s="1"/>
  <c r="AE28" i="65037"/>
  <c r="EC173" i="65037"/>
  <c r="EB173" i="65037" s="1"/>
  <c r="DZ173" i="65037" s="1"/>
  <c r="EC176" i="65037"/>
  <c r="EB176" i="65037" s="1"/>
  <c r="DZ176" i="65037" s="1"/>
  <c r="EC172" i="65037"/>
  <c r="EB172" i="65037" s="1"/>
  <c r="DZ172" i="65037" s="1"/>
  <c r="BL12" i="65037"/>
  <c r="BM13" i="65037" s="1"/>
  <c r="AN11" i="65037"/>
  <c r="AE26" i="65037"/>
  <c r="EC177" i="65037"/>
  <c r="EB177" i="65037" s="1"/>
  <c r="DZ177" i="65037" s="1"/>
  <c r="AS24" i="65037"/>
  <c r="EC179" i="65037"/>
  <c r="EB179" i="65037" s="1"/>
  <c r="DZ179" i="65037" s="1"/>
  <c r="EC175" i="65037"/>
  <c r="EB175" i="65037" s="1"/>
  <c r="DZ175" i="65037" s="1"/>
  <c r="EC171" i="65037"/>
  <c r="EB171" i="65037" s="1"/>
  <c r="DZ171" i="65037" s="1"/>
  <c r="CR50" i="65037"/>
  <c r="AE29" i="65037"/>
  <c r="AE27" i="65037"/>
  <c r="O68" i="65052" l="1"/>
  <c r="AH51" i="65052" s="1"/>
  <c r="O51" i="65052" s="1"/>
  <c r="HC124" i="65037"/>
  <c r="HG125" i="65037"/>
  <c r="GU122" i="65037"/>
  <c r="GY123" i="65037"/>
  <c r="BM12" i="65037"/>
  <c r="BN12" i="65037" s="1"/>
  <c r="BJ12" i="65037" s="1"/>
  <c r="AX5" i="65037" s="1"/>
  <c r="DZ169" i="65037"/>
  <c r="DV169" i="65037" s="1"/>
  <c r="AF29" i="65037"/>
  <c r="FH116" i="65037" s="1"/>
  <c r="FH117" i="65037"/>
  <c r="BF30" i="65037"/>
  <c r="AF28" i="65037"/>
  <c r="FH115" i="65037" s="1"/>
  <c r="FE112" i="65037"/>
  <c r="FO114" i="65037"/>
  <c r="GQ121" i="65037"/>
  <c r="FW116" i="65037"/>
  <c r="GA117" i="65037"/>
  <c r="GE118" i="65037"/>
  <c r="FS115" i="65037"/>
  <c r="GI119" i="65037"/>
  <c r="FK113" i="65037"/>
  <c r="GM120" i="65037"/>
  <c r="AF27" i="65037"/>
  <c r="FH114" i="65037" s="1"/>
  <c r="AF26" i="65037"/>
  <c r="FH113" i="65037" s="1"/>
  <c r="GI124" i="65037" l="1"/>
  <c r="GM125" i="65037"/>
  <c r="GM124" i="65037"/>
  <c r="GQ125" i="65037"/>
  <c r="GY124" i="65037"/>
  <c r="HC125" i="65037"/>
  <c r="GQ124" i="65037"/>
  <c r="GU125" i="65037"/>
  <c r="GU124" i="65037"/>
  <c r="GY125" i="65037"/>
  <c r="GA122" i="65037"/>
  <c r="GE123" i="65037"/>
  <c r="GM122" i="65037"/>
  <c r="GQ123" i="65037"/>
  <c r="GQ122" i="65037"/>
  <c r="GU123" i="65037"/>
  <c r="GI122" i="65037"/>
  <c r="GM123" i="65037"/>
  <c r="GE122" i="65037"/>
  <c r="GI123" i="65037"/>
  <c r="GA120" i="65037"/>
  <c r="GE121" i="65037"/>
  <c r="FK116" i="65037"/>
  <c r="FO117" i="65037"/>
  <c r="FS118" i="65037"/>
  <c r="FW119" i="65037"/>
  <c r="BD10" i="65037"/>
  <c r="AY10" i="65037" s="1"/>
  <c r="BC10" i="65037"/>
  <c r="AQ5" i="65037"/>
  <c r="AZ5" i="65037"/>
  <c r="BA5" i="65037"/>
  <c r="BU13" i="65037"/>
  <c r="AY5" i="65037"/>
  <c r="N36" i="65052" s="1"/>
  <c r="BU12" i="65037"/>
  <c r="BO29" i="65037"/>
  <c r="BI29" i="65037" s="1"/>
  <c r="BH29" i="65037" s="1"/>
  <c r="FK115" i="65037"/>
  <c r="GA119" i="65037"/>
  <c r="GE120" i="65037"/>
  <c r="GI121" i="65037"/>
  <c r="FO116" i="65037"/>
  <c r="FS117" i="65037"/>
  <c r="FW118" i="65037"/>
  <c r="FE113" i="65037"/>
  <c r="FD113" i="65037" s="1"/>
  <c r="FS116" i="65037"/>
  <c r="FW117" i="65037"/>
  <c r="GA118" i="65037"/>
  <c r="FO115" i="65037"/>
  <c r="GE119" i="65037"/>
  <c r="GI120" i="65037"/>
  <c r="FK114" i="65037"/>
  <c r="FE114" i="65037" s="1"/>
  <c r="FD114" i="65037" s="1"/>
  <c r="GM121" i="65037"/>
  <c r="FD112" i="65037"/>
  <c r="GA121" i="65037"/>
  <c r="FK117" i="65037"/>
  <c r="FO118" i="65037"/>
  <c r="FS119" i="65037"/>
  <c r="FW120" i="65037"/>
  <c r="FK118" i="65037"/>
  <c r="FO119" i="65037"/>
  <c r="FS120" i="65037"/>
  <c r="FW121" i="65037"/>
  <c r="FE124" i="65037" l="1"/>
  <c r="FD124" i="65037" s="1"/>
  <c r="FE125" i="65037"/>
  <c r="FD125" i="65037" s="1"/>
  <c r="FE122" i="65037"/>
  <c r="FD122" i="65037" s="1"/>
  <c r="FE116" i="65037"/>
  <c r="FD116" i="65037" s="1"/>
  <c r="FE123" i="65037"/>
  <c r="FD123" i="65037" s="1"/>
  <c r="FE118" i="65037"/>
  <c r="FD118" i="65037" s="1"/>
  <c r="FE115" i="65037"/>
  <c r="FD115" i="65037" s="1"/>
  <c r="FE121" i="65037"/>
  <c r="FE117" i="65037"/>
  <c r="FD117" i="65037" s="1"/>
  <c r="FE119" i="65037"/>
  <c r="FD119" i="65037" s="1"/>
  <c r="FE120" i="65037"/>
  <c r="FD120" i="65037" s="1"/>
  <c r="BG29" i="65037"/>
  <c r="AD29" i="65037"/>
  <c r="AX30" i="65037" s="1"/>
  <c r="BE30" i="65037"/>
  <c r="AX10" i="65037"/>
  <c r="AQ10" i="65037" s="1"/>
  <c r="BA10" i="65037"/>
  <c r="AU17" i="65037"/>
  <c r="AI17" i="65037"/>
  <c r="FD111" i="65037" l="1"/>
  <c r="AU12" i="65037" s="1"/>
  <c r="AI12" i="65037" s="1"/>
  <c r="FE111" i="65037"/>
  <c r="AU11" i="65037" s="1"/>
  <c r="AU14" i="65037" s="1"/>
  <c r="BF29" i="65037"/>
  <c r="AJ12" i="65037" l="1"/>
  <c r="AI11" i="65037"/>
  <c r="AH78" i="65052"/>
  <c r="AI78" i="65052" s="1"/>
  <c r="BN28" i="65037"/>
  <c r="BI28" i="65037" s="1"/>
  <c r="BH28" i="65037" s="1"/>
  <c r="C17" i="65052"/>
  <c r="D17" i="65052"/>
  <c r="K114" i="65052" s="1"/>
  <c r="E17" i="65052"/>
  <c r="AU16" i="65037"/>
  <c r="I121" i="65052" l="1"/>
  <c r="I139" i="65052"/>
  <c r="G111" i="65052"/>
  <c r="C22" i="65052"/>
  <c r="H115" i="65052"/>
  <c r="F111" i="65052"/>
  <c r="F17" i="65052"/>
  <c r="G104" i="65052" s="1"/>
  <c r="H104" i="65052" s="1"/>
  <c r="G115" i="65052"/>
  <c r="I115" i="65052"/>
  <c r="BG28" i="65037"/>
  <c r="AD28" i="65037"/>
  <c r="AX29" i="65037" s="1"/>
  <c r="I111" i="65052"/>
  <c r="G113" i="65052"/>
  <c r="F110" i="65052"/>
  <c r="H110" i="65052" s="1"/>
  <c r="G103" i="65052"/>
  <c r="H112" i="65052"/>
  <c r="H114" i="65052" s="1"/>
  <c r="I112" i="65052"/>
  <c r="I114" i="65052" s="1"/>
  <c r="F106" i="65052"/>
  <c r="F107" i="65052" s="1"/>
  <c r="H113" i="65052"/>
  <c r="I113" i="65052"/>
  <c r="H111" i="65052"/>
  <c r="AX16" i="65037"/>
  <c r="AI16" i="65037"/>
  <c r="AW16" i="65037"/>
  <c r="BE29" i="65037"/>
  <c r="E22" i="65052"/>
  <c r="I110" i="65052" l="1"/>
  <c r="K110" i="65052" s="1"/>
  <c r="G122" i="65052"/>
  <c r="G112" i="65052"/>
  <c r="G114" i="65052" s="1"/>
  <c r="G110" i="65052"/>
  <c r="G105" i="65052"/>
  <c r="H103" i="65052"/>
  <c r="G106" i="65052"/>
  <c r="G107" i="65052" s="1"/>
  <c r="BF28" i="65037"/>
  <c r="D22" i="65052"/>
  <c r="AK58" i="65052" l="1"/>
  <c r="AK59" i="65052"/>
  <c r="F22" i="65052"/>
  <c r="I120" i="65052" s="1"/>
  <c r="K111" i="65052"/>
  <c r="AK77" i="65052"/>
  <c r="AH77" i="65052"/>
  <c r="AI77" i="65052" s="1"/>
  <c r="AK82" i="65052"/>
  <c r="AK80" i="65052"/>
  <c r="AK79" i="65052"/>
  <c r="AK78" i="65052"/>
  <c r="G120" i="65052"/>
  <c r="F123" i="65052"/>
  <c r="BM27" i="65037"/>
  <c r="BI27" i="65037" s="1"/>
  <c r="BH27" i="65037" s="1"/>
  <c r="H106" i="65052"/>
  <c r="H107" i="65052" s="1"/>
  <c r="N106" i="65052"/>
  <c r="N107" i="65052" s="1"/>
  <c r="O106" i="65052"/>
  <c r="O107" i="65052" s="1"/>
  <c r="P106" i="65052"/>
  <c r="P107" i="65052" s="1"/>
  <c r="K106" i="65052"/>
  <c r="K107" i="65052" s="1"/>
  <c r="Q106" i="65052"/>
  <c r="Q107" i="65052" s="1"/>
  <c r="I106" i="65052"/>
  <c r="I107" i="65052" s="1"/>
  <c r="J106" i="65052"/>
  <c r="J107" i="65052" s="1"/>
  <c r="M106" i="65052"/>
  <c r="M107" i="65052" s="1"/>
  <c r="L106" i="65052"/>
  <c r="L107" i="65052" s="1"/>
  <c r="AN59" i="65052" l="1"/>
  <c r="AP59" i="65052"/>
  <c r="AQ59" i="65052"/>
  <c r="G121" i="65052"/>
  <c r="H121" i="65052" s="1"/>
  <c r="AQ58" i="65052"/>
  <c r="AN58" i="65052"/>
  <c r="AP58" i="65052"/>
  <c r="F124" i="65052"/>
  <c r="BG27" i="65037"/>
  <c r="AD27" i="65037"/>
  <c r="AX28" i="65037" s="1"/>
  <c r="H120" i="65052"/>
  <c r="G123" i="65052"/>
  <c r="G124" i="65052" s="1"/>
  <c r="AM82" i="65052"/>
  <c r="AN82" i="65052" s="1"/>
  <c r="AL82" i="65052"/>
  <c r="AL78" i="65052"/>
  <c r="AM78" i="65052"/>
  <c r="AN78" i="65052" s="1"/>
  <c r="BE28" i="65037"/>
  <c r="AL79" i="65052"/>
  <c r="AM79" i="65052"/>
  <c r="AM77" i="65052"/>
  <c r="AN77" i="65052" s="1"/>
  <c r="AL77" i="65052"/>
  <c r="AL80" i="65052"/>
  <c r="AM80" i="65052"/>
  <c r="AN80" i="65052" s="1"/>
  <c r="AR58" i="65052" l="1"/>
  <c r="AQ68" i="65052"/>
  <c r="AQ51" i="65052" s="1"/>
  <c r="AR59" i="65052"/>
  <c r="AR68" i="65052" s="1"/>
  <c r="AR51" i="65052" s="1"/>
  <c r="P123" i="65052"/>
  <c r="P124" i="65052" s="1"/>
  <c r="N123" i="65052"/>
  <c r="N124" i="65052" s="1"/>
  <c r="Q123" i="65052"/>
  <c r="Q124" i="65052" s="1"/>
  <c r="I123" i="65052"/>
  <c r="I124" i="65052" s="1"/>
  <c r="K123" i="65052"/>
  <c r="K124" i="65052" s="1"/>
  <c r="H123" i="65052"/>
  <c r="H124" i="65052" s="1"/>
  <c r="O123" i="65052"/>
  <c r="O124" i="65052" s="1"/>
  <c r="L123" i="65052"/>
  <c r="L124" i="65052" s="1"/>
  <c r="M123" i="65052"/>
  <c r="M124" i="65052" s="1"/>
  <c r="J123" i="65052"/>
  <c r="J124" i="65052" s="1"/>
  <c r="AP82" i="65052"/>
  <c r="AO82" i="65052" s="1"/>
  <c r="AP77" i="65052"/>
  <c r="AO77" i="65052" s="1"/>
  <c r="AP80" i="65052"/>
  <c r="AO80" i="65052" s="1"/>
  <c r="AP79" i="65052"/>
  <c r="AO79" i="65052" s="1"/>
  <c r="AN79" i="65052"/>
  <c r="AP78" i="65052"/>
  <c r="AO78" i="65052" s="1"/>
  <c r="BF27" i="65037"/>
  <c r="BL26" i="65037" l="1"/>
  <c r="BI26" i="65037" s="1"/>
  <c r="BH26" i="65037" s="1"/>
  <c r="AH76" i="65052"/>
  <c r="AI76" i="65052" s="1"/>
  <c r="AK76" i="65052"/>
  <c r="BE27" i="65037" l="1"/>
  <c r="AM76" i="65052"/>
  <c r="AN76" i="65052" s="1"/>
  <c r="AL76" i="65052"/>
  <c r="AD26" i="65037"/>
  <c r="AX27" i="65037" s="1"/>
  <c r="BG26" i="65037"/>
  <c r="AP76" i="65052" l="1"/>
  <c r="AO76" i="65052" s="1"/>
  <c r="BF26" i="65037"/>
  <c r="AK75" i="65052" l="1"/>
  <c r="AH75" i="65052"/>
  <c r="AI75" i="65052" s="1"/>
  <c r="BK25" i="65037"/>
  <c r="BI25" i="65037" s="1"/>
  <c r="BH25" i="65037" s="1"/>
  <c r="BE26" i="65037" l="1"/>
  <c r="AM75" i="65052"/>
  <c r="AN75" i="65052" s="1"/>
  <c r="AL75" i="65052"/>
  <c r="BG25" i="65037"/>
  <c r="AD25" i="65037"/>
  <c r="AX26" i="65037" s="1"/>
  <c r="AY26" i="65037" l="1"/>
  <c r="AG74" i="65052"/>
  <c r="AP75" i="65052"/>
  <c r="AO75" i="65052" s="1"/>
  <c r="BF25" i="65037"/>
  <c r="BB47" i="65037" l="1"/>
  <c r="AW47" i="65037" s="1"/>
  <c r="BB48" i="65037"/>
  <c r="AW48" i="65037" s="1"/>
  <c r="BB41" i="65037"/>
  <c r="AW41" i="65037" s="1"/>
  <c r="BB37" i="65037"/>
  <c r="AW37" i="65037" s="1"/>
  <c r="AC37" i="65037" s="1"/>
  <c r="AH37" i="65037" s="1"/>
  <c r="BB33" i="65037"/>
  <c r="AW33" i="65037" s="1"/>
  <c r="AC33" i="65037" s="1"/>
  <c r="AH33" i="65037" s="1"/>
  <c r="BB46" i="65037"/>
  <c r="AW46" i="65037" s="1"/>
  <c r="BB45" i="65037"/>
  <c r="AW45" i="65037" s="1"/>
  <c r="AC45" i="65037" s="1"/>
  <c r="AH45" i="65037" s="1"/>
  <c r="AI45" i="65037" s="1"/>
  <c r="BB40" i="65037"/>
  <c r="AW40" i="65037" s="1"/>
  <c r="AC40" i="65037" s="1"/>
  <c r="AH40" i="65037" s="1"/>
  <c r="AI40" i="65037" s="1"/>
  <c r="AJ40" i="65037" s="1"/>
  <c r="CR70" i="65037" s="1"/>
  <c r="BB36" i="65037"/>
  <c r="AW36" i="65037" s="1"/>
  <c r="AC36" i="65037" s="1"/>
  <c r="AH36" i="65037" s="1"/>
  <c r="BB49" i="65037"/>
  <c r="AW49" i="65037" s="1"/>
  <c r="BB43" i="65037"/>
  <c r="AW43" i="65037" s="1"/>
  <c r="AC43" i="65037" s="1"/>
  <c r="AH43" i="65037" s="1"/>
  <c r="AI43" i="65037" s="1"/>
  <c r="BB39" i="65037"/>
  <c r="AW39" i="65037" s="1"/>
  <c r="AC39" i="65037" s="1"/>
  <c r="AH39" i="65037" s="1"/>
  <c r="AI39" i="65037" s="1"/>
  <c r="AJ39" i="65037" s="1"/>
  <c r="CR69" i="65037" s="1"/>
  <c r="BB35" i="65037"/>
  <c r="AW35" i="65037" s="1"/>
  <c r="AC35" i="65037" s="1"/>
  <c r="AH35" i="65037" s="1"/>
  <c r="BB44" i="65037"/>
  <c r="AW44" i="65037" s="1"/>
  <c r="BB42" i="65037"/>
  <c r="AW42" i="65037" s="1"/>
  <c r="AV75" i="65037" s="1"/>
  <c r="BB38" i="65037"/>
  <c r="AW38" i="65037" s="1"/>
  <c r="AC38" i="65037" s="1"/>
  <c r="AH38" i="65037" s="1"/>
  <c r="BB34" i="65037"/>
  <c r="AW34" i="65037" s="1"/>
  <c r="AC34" i="65037" s="1"/>
  <c r="AH34" i="65037" s="1"/>
  <c r="AI34" i="65037" s="1"/>
  <c r="BB32" i="65037"/>
  <c r="AW32" i="65037" s="1"/>
  <c r="AC32" i="65037" s="1"/>
  <c r="AH32" i="65037" s="1"/>
  <c r="AI32" i="65037" s="1"/>
  <c r="AJ32" i="65037" s="1"/>
  <c r="CR62" i="65037" s="1"/>
  <c r="BB31" i="65037"/>
  <c r="AW31" i="65037" s="1"/>
  <c r="AC31" i="65037" s="1"/>
  <c r="AH31" i="65037" s="1"/>
  <c r="AI31" i="65037" s="1"/>
  <c r="AJ31" i="65037" s="1"/>
  <c r="CR61" i="65037" s="1"/>
  <c r="BB30" i="65037"/>
  <c r="AW30" i="65037" s="1"/>
  <c r="AC30" i="65037" s="1"/>
  <c r="AH30" i="65037" s="1"/>
  <c r="BB29" i="65037"/>
  <c r="AW29" i="65037" s="1"/>
  <c r="AC29" i="65037" s="1"/>
  <c r="AH29" i="65037" s="1"/>
  <c r="BB28" i="65037"/>
  <c r="AW28" i="65037" s="1"/>
  <c r="AC28" i="65037" s="1"/>
  <c r="AH28" i="65037" s="1"/>
  <c r="BB27" i="65037"/>
  <c r="AW27" i="65037" s="1"/>
  <c r="AC27" i="65037" s="1"/>
  <c r="AH27" i="65037" s="1"/>
  <c r="BB26" i="65037"/>
  <c r="AW26" i="65037" s="1"/>
  <c r="AC26" i="65037" s="1"/>
  <c r="AH26" i="65037" s="1"/>
  <c r="AI26" i="65037" s="1"/>
  <c r="AJ26" i="65037" s="1"/>
  <c r="CR56" i="65037" s="1"/>
  <c r="AH74" i="65052"/>
  <c r="AI74" i="65052" s="1"/>
  <c r="AK74" i="65052"/>
  <c r="BB25" i="65037"/>
  <c r="AW25" i="65037" s="1"/>
  <c r="AC25" i="65037" s="1"/>
  <c r="AG86" i="65052" l="1"/>
  <c r="AI38" i="65037"/>
  <c r="AJ38" i="65037" s="1"/>
  <c r="CR68" i="65037" s="1"/>
  <c r="AG85" i="65052"/>
  <c r="AI37" i="65037"/>
  <c r="AJ37" i="65037" s="1"/>
  <c r="CR67" i="65037" s="1"/>
  <c r="AY27" i="65037"/>
  <c r="AI27" i="65037"/>
  <c r="AJ27" i="65037" s="1"/>
  <c r="CR57" i="65037" s="1"/>
  <c r="AY30" i="65037"/>
  <c r="AI30" i="65037"/>
  <c r="AJ30" i="65037" s="1"/>
  <c r="CR60" i="65037" s="1"/>
  <c r="AY28" i="65037"/>
  <c r="AI28" i="65037"/>
  <c r="AJ28" i="65037" s="1"/>
  <c r="CR58" i="65037" s="1"/>
  <c r="AY29" i="65037"/>
  <c r="AI29" i="65037"/>
  <c r="AJ29" i="65037" s="1"/>
  <c r="CR59" i="65037" s="1"/>
  <c r="AG83" i="65052"/>
  <c r="AI35" i="65037"/>
  <c r="AJ35" i="65037" s="1"/>
  <c r="CR65" i="65037" s="1"/>
  <c r="AG84" i="65052"/>
  <c r="AI36" i="65037"/>
  <c r="AJ36" i="65037" s="1"/>
  <c r="CR66" i="65037" s="1"/>
  <c r="AG81" i="65052"/>
  <c r="AI33" i="65037"/>
  <c r="AJ33" i="65037" s="1"/>
  <c r="CR63" i="65037" s="1"/>
  <c r="AH25" i="65037"/>
  <c r="BE25" i="65037"/>
  <c r="AM74" i="65052"/>
  <c r="AN74" i="65052" s="1"/>
  <c r="AL74" i="65052"/>
  <c r="AH84" i="65052" l="1"/>
  <c r="AI84" i="65052" s="1"/>
  <c r="AK84" i="65052"/>
  <c r="AH85" i="65052"/>
  <c r="AI85" i="65052" s="1"/>
  <c r="AK85" i="65052"/>
  <c r="AH81" i="65052"/>
  <c r="AI81" i="65052" s="1"/>
  <c r="AK81" i="65052"/>
  <c r="AH83" i="65052"/>
  <c r="AI83" i="65052" s="1"/>
  <c r="AK83" i="65052"/>
  <c r="AH86" i="65052"/>
  <c r="AI86" i="65052" s="1"/>
  <c r="AK86" i="65052"/>
  <c r="AY25" i="65037"/>
  <c r="AY24" i="65037" s="1"/>
  <c r="AG73" i="65052"/>
  <c r="AP74" i="65052"/>
  <c r="AO74" i="65052" s="1"/>
  <c r="AI25" i="65037"/>
  <c r="AJ25" i="65037" s="1"/>
  <c r="CR55" i="65037" s="1"/>
  <c r="CR54" i="65037" s="1"/>
  <c r="AL12" i="65037" l="1"/>
  <c r="AL83" i="65052"/>
  <c r="AM83" i="65052"/>
  <c r="AN83" i="65052" s="1"/>
  <c r="AP83" i="65052"/>
  <c r="AO83" i="65052" s="1"/>
  <c r="AL85" i="65052"/>
  <c r="AM85" i="65052"/>
  <c r="AN85" i="65052" s="1"/>
  <c r="AP85" i="65052"/>
  <c r="AO85" i="65052" s="1"/>
  <c r="AM81" i="65052"/>
  <c r="AL81" i="65052"/>
  <c r="AP81" i="65052"/>
  <c r="AO81" i="65052" s="1"/>
  <c r="AN81" i="65052"/>
  <c r="AL84" i="65052"/>
  <c r="AM84" i="65052"/>
  <c r="AN84" i="65052" s="1"/>
  <c r="AP84" i="65052"/>
  <c r="AO84" i="65052" s="1"/>
  <c r="AM86" i="65052"/>
  <c r="AN86" i="65052" s="1"/>
  <c r="AL86" i="65052"/>
  <c r="AP86" i="65052"/>
  <c r="AO86" i="65052" s="1"/>
  <c r="AK73" i="65052"/>
  <c r="AG72" i="65052"/>
  <c r="AH50" i="65052" s="1"/>
  <c r="AH73" i="65052"/>
  <c r="AI73" i="65052" s="1"/>
  <c r="AI72" i="65052" s="1"/>
  <c r="AQ50" i="65052" l="1"/>
  <c r="AG50" i="65052"/>
  <c r="Y54" i="65052" s="1"/>
  <c r="E28" i="65052" s="1"/>
  <c r="O50" i="65052"/>
  <c r="AH48" i="65052"/>
  <c r="AM73" i="65052"/>
  <c r="AN73" i="65052" s="1"/>
  <c r="AL73" i="65052"/>
  <c r="O48" i="65052" l="1"/>
  <c r="C28" i="65052"/>
  <c r="D28" i="65052" s="1"/>
  <c r="D131" i="65052"/>
  <c r="E131" i="65052" s="1"/>
  <c r="AP73" i="65052"/>
  <c r="AO73" i="65052" s="1"/>
  <c r="AO72" i="65052" s="1"/>
  <c r="AR50" i="65052" s="1"/>
  <c r="AR48" i="65052" s="1"/>
  <c r="C33" i="65052" s="1"/>
  <c r="E140" i="65052" l="1"/>
  <c r="G131" i="65052"/>
  <c r="F28" i="65052"/>
  <c r="F132" i="65052"/>
  <c r="F133" i="65052" s="1"/>
  <c r="G129" i="65052"/>
  <c r="E33" i="65052"/>
  <c r="D33" i="65052"/>
  <c r="F33" i="65052" l="1"/>
  <c r="I138" i="65052" s="1"/>
  <c r="G138" i="65052"/>
  <c r="F141" i="65052"/>
  <c r="K115" i="65052"/>
  <c r="K116" i="65052" s="1"/>
  <c r="G130" i="65052"/>
  <c r="H130" i="65052" s="1"/>
  <c r="G139" i="65052"/>
  <c r="H139" i="65052" s="1"/>
  <c r="L132" i="65052"/>
  <c r="L133" i="65052" s="1"/>
  <c r="O132" i="65052"/>
  <c r="H132" i="65052"/>
  <c r="H133" i="65052" s="1"/>
  <c r="K132" i="65052"/>
  <c r="K133" i="65052" s="1"/>
  <c r="Q132" i="65052"/>
  <c r="Q133" i="65052" s="1"/>
  <c r="I132" i="65052"/>
  <c r="M132" i="65052"/>
  <c r="M133" i="65052" s="1"/>
  <c r="J132" i="65052"/>
  <c r="J133" i="65052" s="1"/>
  <c r="P132" i="65052"/>
  <c r="P133" i="65052" s="1"/>
  <c r="N132" i="65052"/>
  <c r="N133" i="65052" s="1"/>
  <c r="G132" i="65052"/>
  <c r="G133" i="65052" s="1"/>
  <c r="H129" i="65052"/>
  <c r="Q141" i="65052" l="1"/>
  <c r="M141" i="65052"/>
  <c r="P141" i="65052"/>
  <c r="N141" i="65052"/>
  <c r="I141" i="65052"/>
  <c r="H141" i="65052"/>
  <c r="L141" i="65052"/>
  <c r="O141" i="65052"/>
  <c r="J141" i="65052"/>
  <c r="K141" i="65052"/>
  <c r="F142" i="65052"/>
  <c r="O133" i="65052"/>
  <c r="I133" i="65052"/>
  <c r="H138" i="65052"/>
  <c r="G140" i="65052"/>
  <c r="Q142" i="65052" s="1"/>
  <c r="G141" i="65052"/>
  <c r="G142" i="65052" s="1"/>
  <c r="I142" i="65052" l="1"/>
  <c r="N114" i="65052"/>
  <c r="N115" i="65052"/>
  <c r="H142" i="65052"/>
  <c r="J142" i="65052"/>
  <c r="K142" i="65052"/>
  <c r="L142" i="65052"/>
  <c r="M142" i="65052"/>
  <c r="N142" i="65052"/>
  <c r="O142" i="65052"/>
  <c r="P142" i="65052"/>
  <c r="N116" i="65052" l="1"/>
  <c r="N117" i="65052" s="1"/>
  <c r="Q114" i="65052" l="1"/>
  <c r="Q115" i="65052"/>
  <c r="Q116" i="65052" l="1"/>
  <c r="Q117" i="65052" s="1"/>
  <c r="T114" i="65052" s="1"/>
  <c r="T115" i="65052" l="1"/>
  <c r="T116" i="65052" s="1"/>
  <c r="T117" i="65052" s="1"/>
  <c r="N119" i="65052" s="1"/>
  <c r="N118" i="65052" l="1"/>
  <c r="N120" i="65052" s="1"/>
  <c r="N121" i="65052" s="1"/>
  <c r="Q118" i="65052" s="1"/>
  <c r="Q119" i="65052" l="1"/>
  <c r="Q120" i="65052" s="1"/>
  <c r="Q121" i="65052" s="1"/>
  <c r="T118" i="65052" s="1"/>
  <c r="T119" i="65052" l="1"/>
  <c r="T120" i="65052" s="1"/>
  <c r="T123" i="65052" l="1"/>
  <c r="C38" i="65052" s="1"/>
  <c r="T121" i="65052"/>
  <c r="T124" i="65052" s="1"/>
  <c r="D38" i="65052" s="1"/>
  <c r="BB18" i="65037" l="1"/>
  <c r="AZ18" i="65037" s="1"/>
  <c r="AV18" i="65037" s="1"/>
  <c r="AU18" i="65037" s="1"/>
  <c r="AG18" i="65037"/>
  <c r="AV15" i="65037"/>
  <c r="AI15" i="65037" s="1"/>
  <c r="AV14" i="65037"/>
  <c r="AI14" i="65037" s="1"/>
  <c r="O43" i="65052" l="1"/>
  <c r="AI18" i="650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Paulo Gomes</author>
    <author>Utilizador</author>
  </authors>
  <commentList>
    <comment ref="U2" authorId="0" shapeId="0" xr:uid="{00000000-0006-0000-0000-000001000000}">
      <text>
        <r>
          <rPr>
            <b/>
            <sz val="10"/>
            <color indexed="81"/>
            <rFont val="Tahoma"/>
            <family val="2"/>
          </rPr>
          <t xml:space="preserve">Opcional: </t>
        </r>
        <r>
          <rPr>
            <sz val="10"/>
            <color indexed="81"/>
            <rFont val="Tahoma"/>
            <family val="2"/>
          </rPr>
          <t>Introduza um código para identificação do dimensionamento.</t>
        </r>
      </text>
    </comment>
    <comment ref="AC2" authorId="0" shapeId="0" xr:uid="{00000000-0006-0000-0000-000002000000}">
      <text>
        <r>
          <rPr>
            <b/>
            <sz val="10"/>
            <color indexed="81"/>
            <rFont val="Tahoma"/>
            <family val="2"/>
          </rPr>
          <t xml:space="preserve">Opcional: </t>
        </r>
        <r>
          <rPr>
            <sz val="10"/>
            <color indexed="81"/>
            <rFont val="Tahoma"/>
            <family val="2"/>
          </rPr>
          <t>Introduza uma descrição/localização  sumária do dimensionamento.</t>
        </r>
      </text>
    </comment>
    <comment ref="AN2" authorId="0" shapeId="0" xr:uid="{00000000-0006-0000-0000-000003000000}">
      <text>
        <r>
          <rPr>
            <b/>
            <sz val="10"/>
            <color indexed="81"/>
            <rFont val="Tahoma"/>
            <family val="2"/>
          </rPr>
          <t xml:space="preserve">Opcional: </t>
        </r>
        <r>
          <rPr>
            <sz val="10"/>
            <color indexed="81"/>
            <rFont val="Tahoma"/>
            <family val="2"/>
          </rPr>
          <t>Introduza a data do dimensionamento.</t>
        </r>
      </text>
    </comment>
    <comment ref="M5" authorId="1" shapeId="0" xr:uid="{00000000-0006-0000-0000-000004000000}">
      <text>
        <r>
          <rPr>
            <sz val="9"/>
            <color indexed="81"/>
            <rFont val="Tahoma"/>
            <family val="2"/>
          </rPr>
          <t xml:space="preserve">Seleccionar a </t>
        </r>
        <r>
          <rPr>
            <b/>
            <sz val="9"/>
            <color indexed="81"/>
            <rFont val="Tahoma"/>
            <family val="2"/>
          </rPr>
          <t>Utilização Tipo (UT)</t>
        </r>
        <r>
          <rPr>
            <sz val="9"/>
            <color indexed="81"/>
            <rFont val="Tahoma"/>
            <family val="2"/>
          </rPr>
          <t xml:space="preserve"> ou </t>
        </r>
        <r>
          <rPr>
            <b/>
            <sz val="9"/>
            <color indexed="81"/>
            <rFont val="Tahoma"/>
            <family val="2"/>
          </rPr>
          <t>Classe</t>
        </r>
        <r>
          <rPr>
            <sz val="9"/>
            <color indexed="81"/>
            <rFont val="Tahoma"/>
            <family val="2"/>
          </rPr>
          <t xml:space="preserve"> e </t>
        </r>
        <r>
          <rPr>
            <b/>
            <sz val="9"/>
            <color indexed="81"/>
            <rFont val="Tahoma"/>
            <family val="2"/>
          </rPr>
          <t>Grupo de Risco</t>
        </r>
        <r>
          <rPr>
            <sz val="9"/>
            <color indexed="81"/>
            <rFont val="Tahoma"/>
            <family val="2"/>
          </rPr>
          <t xml:space="preserve"> aplicável (ver </t>
        </r>
        <r>
          <rPr>
            <b/>
            <sz val="9"/>
            <color indexed="81"/>
            <rFont val="Tahoma"/>
            <family val="2"/>
          </rPr>
          <t>Quadro 3</t>
        </r>
        <r>
          <rPr>
            <sz val="9"/>
            <color indexed="81"/>
            <rFont val="Tahoma"/>
            <family val="2"/>
          </rPr>
          <t xml:space="preserve"> de cada critério).</t>
        </r>
      </text>
    </comment>
    <comment ref="AN5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Por defeito, a dimensão da tubagem de aspiração é estabelecida em conformidade com a norma </t>
        </r>
        <r>
          <rPr>
            <b/>
            <sz val="9"/>
            <color indexed="81"/>
            <rFont val="Tahoma"/>
            <family val="2"/>
          </rPr>
          <t>EN 12845</t>
        </r>
        <r>
          <rPr>
            <sz val="9"/>
            <color indexed="81"/>
            <rFont val="Tahoma"/>
            <family val="2"/>
          </rPr>
          <t xml:space="preserve"> e a </t>
        </r>
        <r>
          <rPr>
            <b/>
            <sz val="9"/>
            <color indexed="81"/>
            <rFont val="Tahoma"/>
            <family val="2"/>
          </rPr>
          <t>Nota Técnica n.º 15 da ANEPC</t>
        </r>
        <r>
          <rPr>
            <sz val="9"/>
            <color indexed="81"/>
            <rFont val="Tahoma"/>
            <family val="2"/>
          </rPr>
          <t xml:space="preserve"> (Autoridade Nacional de Emergência e Proteção Civil). Estando sujeita aos seguintes requisitos:
</t>
        </r>
        <r>
          <rPr>
            <b/>
            <sz val="9"/>
            <color indexed="81"/>
            <rFont val="Tahoma"/>
            <family val="2"/>
          </rPr>
          <t>1. Quando em aspiração positiva</t>
        </r>
        <r>
          <rPr>
            <sz val="9"/>
            <color indexed="81"/>
            <rFont val="Tahoma"/>
            <family val="2"/>
          </rPr>
          <t xml:space="preserve">: deve ter uma dimensão nominal mínima de DN 65 e ser igual ou superior à dimensão máxima da tubagem de compressão. A respectiva velocidade de escoamento não deve exceder 1,8 m/s para o caudal de sobrecarga.
</t>
        </r>
        <r>
          <rPr>
            <b/>
            <sz val="9"/>
            <color indexed="81"/>
            <rFont val="Tahoma"/>
            <family val="2"/>
          </rPr>
          <t>2. Quando em aspiração negativa:</t>
        </r>
        <r>
          <rPr>
            <sz val="9"/>
            <color indexed="81"/>
            <rFont val="Tahoma"/>
            <family val="2"/>
          </rPr>
          <t xml:space="preserve"> deve ter uma dimensão nominal mínima DN 80 e ser igual ou superior à dimensão máxima da tubagem de compressão. A respectiva velocidade de escoamento não deve exceder 1,5 m/s para o caudal de sobrecarga.
</t>
        </r>
        <r>
          <rPr>
            <b/>
            <sz val="9"/>
            <color indexed="81"/>
            <rFont val="Tahoma"/>
            <family val="2"/>
          </rPr>
          <t>Nota:</t>
        </r>
        <r>
          <rPr>
            <sz val="9"/>
            <color indexed="81"/>
            <rFont val="Tahoma"/>
            <family val="2"/>
          </rPr>
          <t xml:space="preserve"> o caudal de sobrecarga corresponde a 140% da necessidade de caudal em condições críticas de pressão.
Caso pretenda adoptar como valor do diâmetro da tubagem de aspiração, o imediatamente acima do maior diâmetro da tubagem de compressão, marcar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>.</t>
        </r>
      </text>
    </comment>
    <comment ref="L6" authorId="1" shapeId="0" xr:uid="{00000000-0006-0000-0000-000006000000}">
      <text>
        <r>
          <rPr>
            <sz val="9"/>
            <color indexed="81"/>
            <rFont val="Tahoma"/>
            <family val="2"/>
          </rPr>
          <t xml:space="preserve">Introduzir a </t>
        </r>
        <r>
          <rPr>
            <b/>
            <sz val="9"/>
            <color indexed="81"/>
            <rFont val="Tahoma"/>
            <family val="2"/>
          </rPr>
          <t xml:space="preserve">área de operação </t>
        </r>
        <r>
          <rPr>
            <sz val="9"/>
            <color indexed="81"/>
            <rFont val="Tahoma"/>
            <family val="2"/>
          </rPr>
          <t xml:space="preserve">caso seja diferente do valor proposto por defeito (ver </t>
        </r>
        <r>
          <rPr>
            <b/>
            <sz val="9"/>
            <color indexed="81"/>
            <rFont val="Tahoma"/>
            <family val="2"/>
          </rPr>
          <t>Quadro 3</t>
        </r>
        <r>
          <rPr>
            <sz val="9"/>
            <color indexed="81"/>
            <rFont val="Tahoma"/>
            <family val="2"/>
          </rPr>
          <t>).</t>
        </r>
      </text>
    </comment>
    <comment ref="AI6" authorId="0" shapeId="0" xr:uid="{00000000-0006-0000-0000-000007000000}">
      <text>
        <r>
          <rPr>
            <sz val="9"/>
            <color indexed="81"/>
            <rFont val="Tahoma"/>
            <family val="2"/>
          </rPr>
          <t xml:space="preserve">Impor (marcar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), o critério utilizado até 2012 de afectação dos caudais aos sprinklers situados na </t>
        </r>
        <r>
          <rPr>
            <b/>
            <sz val="9"/>
            <color indexed="81"/>
            <rFont val="Tahoma"/>
            <family val="2"/>
          </rPr>
          <t>bifurcação do Sub-ramal 1</t>
        </r>
        <r>
          <rPr>
            <sz val="9"/>
            <color indexed="81"/>
            <rFont val="Tahoma"/>
            <family val="2"/>
          </rPr>
          <t>, se existente.</t>
        </r>
      </text>
    </comment>
    <comment ref="AQ6" authorId="0" shapeId="0" xr:uid="{00000000-0006-0000-0000-000008000000}">
      <text>
        <r>
          <rPr>
            <sz val="9"/>
            <color indexed="81"/>
            <rFont val="Tahoma"/>
            <family val="2"/>
          </rPr>
          <t xml:space="preserve">Introduzir o comprimento da tubagem de aspiração (em </t>
        </r>
        <r>
          <rPr>
            <b/>
            <sz val="9"/>
            <color indexed="81"/>
            <rFont val="Tahoma"/>
            <family val="2"/>
          </rPr>
          <t>metros</t>
        </r>
        <r>
          <rPr>
            <sz val="9"/>
            <color indexed="81"/>
            <rFont val="Tahoma"/>
            <family val="2"/>
          </rPr>
          <t>).</t>
        </r>
      </text>
    </comment>
    <comment ref="L7" authorId="1" shapeId="0" xr:uid="{00000000-0006-0000-0000-000009000000}">
      <text>
        <r>
          <rPr>
            <sz val="9"/>
            <color indexed="81"/>
            <rFont val="Tahoma"/>
            <family val="2"/>
          </rPr>
          <t xml:space="preserve">Introduzir a </t>
        </r>
        <r>
          <rPr>
            <b/>
            <sz val="9"/>
            <color indexed="81"/>
            <rFont val="Tahoma"/>
            <family val="2"/>
          </rPr>
          <t xml:space="preserve">área máxima a proteger por </t>
        </r>
        <r>
          <rPr>
            <b/>
            <i/>
            <sz val="9"/>
            <color indexed="81"/>
            <rFont val="Tahoma"/>
            <family val="2"/>
          </rPr>
          <t>sprinkler</t>
        </r>
        <r>
          <rPr>
            <sz val="9"/>
            <color indexed="81"/>
            <rFont val="Tahoma"/>
            <family val="2"/>
          </rPr>
          <t xml:space="preserve"> caso seja diferente do valor proposto por defeito (ver </t>
        </r>
        <r>
          <rPr>
            <b/>
            <sz val="9"/>
            <color indexed="81"/>
            <rFont val="Tahoma"/>
            <family val="2"/>
          </rPr>
          <t>Quadro 3</t>
        </r>
        <r>
          <rPr>
            <sz val="9"/>
            <color indexed="81"/>
            <rFont val="Tahoma"/>
            <family val="2"/>
          </rPr>
          <t>).</t>
        </r>
      </text>
    </comment>
    <comment ref="AI7" authorId="0" shapeId="0" xr:uid="{00000000-0006-0000-0000-00000A000000}">
      <text>
        <r>
          <rPr>
            <sz val="9"/>
            <color indexed="81"/>
            <rFont val="Tahoma"/>
            <family val="2"/>
          </rPr>
          <t xml:space="preserve">Impor, se necessário, um valor diferente do proposto por defeito para o </t>
        </r>
        <r>
          <rPr>
            <b/>
            <sz val="9"/>
            <color indexed="81"/>
            <rFont val="Tahoma"/>
            <family val="2"/>
          </rPr>
          <t>Nº de sprinklers em funcionamento simultâneo por sub-ramal</t>
        </r>
        <r>
          <rPr>
            <sz val="9"/>
            <color indexed="81"/>
            <rFont val="Tahoma"/>
            <family val="2"/>
          </rPr>
          <t>.</t>
        </r>
      </text>
    </comment>
    <comment ref="AQ7" authorId="0" shapeId="0" xr:uid="{00000000-0006-0000-0000-00000F000000}">
      <text>
        <r>
          <rPr>
            <sz val="9"/>
            <color indexed="81"/>
            <rFont val="Tahoma"/>
            <family val="2"/>
          </rPr>
          <t xml:space="preserve">Introduzir o desnível da tubagem de aspiração (em </t>
        </r>
        <r>
          <rPr>
            <b/>
            <sz val="9"/>
            <color indexed="81"/>
            <rFont val="Tahoma"/>
            <family val="2"/>
          </rPr>
          <t>metros</t>
        </r>
        <r>
          <rPr>
            <sz val="9"/>
            <color indexed="81"/>
            <rFont val="Tahoma"/>
            <family val="2"/>
          </rPr>
          <t xml:space="preserve">).
</t>
        </r>
        <r>
          <rPr>
            <vertAlign val="superscript"/>
            <sz val="10"/>
            <color indexed="81"/>
            <rFont val="Tahoma"/>
            <family val="2"/>
          </rPr>
          <t>1)</t>
        </r>
        <r>
          <rPr>
            <sz val="8"/>
            <color indexed="81"/>
            <rFont val="Tahoma"/>
            <family val="2"/>
          </rPr>
          <t xml:space="preserve"> O valor da altura ou desnível deve ser </t>
        </r>
        <r>
          <rPr>
            <b/>
            <sz val="8"/>
            <color indexed="81"/>
            <rFont val="Tahoma"/>
            <family val="2"/>
          </rPr>
          <t xml:space="preserve">positivo (+) se a tubagem for ascendente </t>
        </r>
        <r>
          <rPr>
            <sz val="8"/>
            <color indexed="81"/>
            <rFont val="Tahoma"/>
            <family val="2"/>
          </rPr>
          <t xml:space="preserve">e </t>
        </r>
        <r>
          <rPr>
            <b/>
            <sz val="8"/>
            <color indexed="81"/>
            <rFont val="Tahoma"/>
            <family val="2"/>
          </rPr>
          <t>negativo (-) se a tubagem for descendente</t>
        </r>
        <r>
          <rPr>
            <sz val="8"/>
            <color indexed="81"/>
            <rFont val="Tahoma"/>
            <family val="2"/>
          </rPr>
          <t>.</t>
        </r>
      </text>
    </comment>
    <comment ref="AU7" authorId="0" shapeId="0" xr:uid="{00000000-0006-0000-0000-00000C000000}">
      <text>
        <r>
          <rPr>
            <sz val="9"/>
            <color indexed="81"/>
            <rFont val="Tahoma"/>
            <family val="2"/>
          </rPr>
          <t xml:space="preserve">Impor, se necessário, um valor diferente do proposto por defeito para o </t>
        </r>
        <r>
          <rPr>
            <b/>
            <sz val="9"/>
            <color indexed="81"/>
            <rFont val="Tahoma"/>
            <family val="2"/>
          </rPr>
          <t>Nº de sprinklers em funcionamento simultâneo por sub-ramal</t>
        </r>
        <r>
          <rPr>
            <sz val="9"/>
            <color indexed="81"/>
            <rFont val="Tahoma"/>
            <family val="2"/>
          </rPr>
          <t>.</t>
        </r>
      </text>
    </comment>
    <comment ref="L8" authorId="1" shapeId="0" xr:uid="{00000000-0006-0000-0000-00000D000000}">
      <text>
        <r>
          <rPr>
            <sz val="9"/>
            <color indexed="81"/>
            <rFont val="Tahoma"/>
            <family val="2"/>
          </rPr>
          <t xml:space="preserve">Introduzir o </t>
        </r>
        <r>
          <rPr>
            <b/>
            <sz val="9"/>
            <color indexed="81"/>
            <rFont val="Tahoma"/>
            <family val="2"/>
          </rPr>
          <t xml:space="preserve">nº total de </t>
        </r>
        <r>
          <rPr>
            <b/>
            <i/>
            <sz val="9"/>
            <color indexed="81"/>
            <rFont val="Tahoma"/>
            <family val="2"/>
          </rPr>
          <t xml:space="preserve">sprinklers </t>
        </r>
        <r>
          <rPr>
            <b/>
            <sz val="9"/>
            <color indexed="81"/>
            <rFont val="Tahoma"/>
            <family val="2"/>
          </rPr>
          <t>em funcionamento simultâneo</t>
        </r>
        <r>
          <rPr>
            <sz val="9"/>
            <color indexed="81"/>
            <rFont val="Tahoma"/>
            <family val="2"/>
          </rPr>
          <t xml:space="preserve"> caso seja diferente do valor proposto por defeito (ver </t>
        </r>
        <r>
          <rPr>
            <b/>
            <sz val="9"/>
            <color indexed="81"/>
            <rFont val="Tahoma"/>
            <family val="2"/>
          </rPr>
          <t>Quadro 3</t>
        </r>
        <r>
          <rPr>
            <sz val="9"/>
            <color indexed="81"/>
            <rFont val="Tahoma"/>
            <family val="2"/>
          </rPr>
          <t>).</t>
        </r>
      </text>
    </comment>
    <comment ref="AI8" authorId="0" shapeId="0" xr:uid="{00000000-0006-0000-0000-00000E000000}">
      <text>
        <r>
          <rPr>
            <sz val="9"/>
            <color indexed="81"/>
            <rFont val="Tahoma"/>
            <family val="2"/>
          </rPr>
          <t xml:space="preserve">Impor, se necessário, um valor diferente do proposto por defeito para o </t>
        </r>
        <r>
          <rPr>
            <b/>
            <sz val="9"/>
            <color indexed="81"/>
            <rFont val="Tahoma"/>
            <family val="2"/>
          </rPr>
          <t>Caudal necessário ao desempenho de cada sprinkler</t>
        </r>
        <r>
          <rPr>
            <sz val="9"/>
            <color indexed="81"/>
            <rFont val="Tahoma"/>
            <family val="2"/>
          </rPr>
          <t xml:space="preserve">.
Nota: Recomenda-se um valor mínimo de </t>
        </r>
        <r>
          <rPr>
            <b/>
            <sz val="9"/>
            <color indexed="81"/>
            <rFont val="Tahoma"/>
            <family val="2"/>
          </rPr>
          <t>47 l/min</t>
        </r>
        <r>
          <rPr>
            <sz val="9"/>
            <color indexed="81"/>
            <rFont val="Tahoma"/>
            <family val="2"/>
          </rPr>
          <t>.</t>
        </r>
      </text>
    </comment>
    <comment ref="AQ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Opcional:</t>
        </r>
        <r>
          <rPr>
            <sz val="9"/>
            <color indexed="81"/>
            <rFont val="Tahoma"/>
            <family val="2"/>
          </rPr>
          <t xml:space="preserve"> Introduzir as perdas de carga locais (em metros) referentes aos acessórios utilizados na tubagem de aspiração (</t>
        </r>
        <r>
          <rPr>
            <b/>
            <sz val="9"/>
            <color indexed="81"/>
            <rFont val="Tahoma"/>
            <family val="2"/>
          </rPr>
          <t>ver Quadro 2</t>
        </r>
        <r>
          <rPr>
            <sz val="9"/>
            <color indexed="81"/>
            <rFont val="Tahoma"/>
            <family val="2"/>
          </rPr>
          <t>).</t>
        </r>
      </text>
    </comment>
    <comment ref="AU8" authorId="0" shapeId="0" xr:uid="{00000000-0006-0000-0000-000010000000}">
      <text>
        <r>
          <rPr>
            <sz val="9"/>
            <color indexed="81"/>
            <rFont val="Tahoma"/>
            <family val="2"/>
          </rPr>
          <t xml:space="preserve">Impor, se necessário, um valor diferente do proposto por defeito para o </t>
        </r>
        <r>
          <rPr>
            <b/>
            <sz val="9"/>
            <color indexed="81"/>
            <rFont val="Tahoma"/>
            <family val="2"/>
          </rPr>
          <t>Caudal necessário ao desempenho de cada sprinkler</t>
        </r>
        <r>
          <rPr>
            <sz val="9"/>
            <color indexed="81"/>
            <rFont val="Tahoma"/>
            <family val="2"/>
          </rPr>
          <t>.</t>
        </r>
      </text>
    </comment>
    <comment ref="L9" authorId="1" shapeId="0" xr:uid="{00000000-0006-0000-0000-000011000000}">
      <text>
        <r>
          <rPr>
            <sz val="9"/>
            <color indexed="81"/>
            <rFont val="Tahoma"/>
            <family val="2"/>
          </rPr>
          <t xml:space="preserve">Introduzir o </t>
        </r>
        <r>
          <rPr>
            <b/>
            <sz val="9"/>
            <color indexed="81"/>
            <rFont val="Tahoma"/>
            <family val="2"/>
          </rPr>
          <t xml:space="preserve">espaçamento máximo entre </t>
        </r>
        <r>
          <rPr>
            <b/>
            <i/>
            <sz val="9"/>
            <color indexed="81"/>
            <rFont val="Tahoma"/>
            <family val="2"/>
          </rPr>
          <t>sprinklers</t>
        </r>
        <r>
          <rPr>
            <sz val="9"/>
            <color indexed="81"/>
            <rFont val="Tahoma"/>
            <family val="2"/>
          </rPr>
          <t xml:space="preserve"> caso seja diferente do valor proposto por defeito (ver </t>
        </r>
        <r>
          <rPr>
            <b/>
            <sz val="9"/>
            <color indexed="81"/>
            <rFont val="Tahoma"/>
            <family val="2"/>
          </rPr>
          <t>Quadro 3</t>
        </r>
        <r>
          <rPr>
            <sz val="9"/>
            <color indexed="81"/>
            <rFont val="Tahoma"/>
            <family val="2"/>
          </rPr>
          <t>).</t>
        </r>
      </text>
    </comment>
    <comment ref="AI9" authorId="0" shapeId="0" xr:uid="{0B2609F9-55AF-48E5-A748-361B6260E06C}">
      <text>
        <r>
          <rPr>
            <sz val="9"/>
            <color indexed="81"/>
            <rFont val="Tahoma"/>
            <family val="2"/>
          </rPr>
          <t xml:space="preserve">Em geral, é imposto um valor mínimo para a pressão no sprinkler localizado na posição hidraulicamente mais desfavorável de </t>
        </r>
        <r>
          <rPr>
            <b/>
            <sz val="9"/>
            <color indexed="81"/>
            <rFont val="Tahoma"/>
            <family val="2"/>
          </rPr>
          <t>50 kPa</t>
        </r>
        <r>
          <rPr>
            <sz val="9"/>
            <color indexed="81"/>
            <rFont val="Tahoma"/>
            <family val="2"/>
          </rPr>
          <t xml:space="preserve">.
Em conformidade com a norma </t>
        </r>
        <r>
          <rPr>
            <b/>
            <sz val="9"/>
            <color indexed="81"/>
            <rFont val="Tahoma"/>
            <family val="2"/>
          </rPr>
          <t>EN 12845</t>
        </r>
        <r>
          <rPr>
            <sz val="9"/>
            <color indexed="81"/>
            <rFont val="Tahoma"/>
            <family val="2"/>
          </rPr>
          <t xml:space="preserve">, a pressão no sprinkler localizado na posição hidraulicamente mais desfavorável, quando todos os sprinklers na área de operação estão em funcionamento, não deve ser inferior à exigida para atingir a densidade de descarga mencionada no </t>
        </r>
        <r>
          <rPr>
            <b/>
            <sz val="9"/>
            <color indexed="81"/>
            <rFont val="Tahoma"/>
            <family val="2"/>
          </rPr>
          <t>Quadro 3-EN 12845 ou a mencionada a seguir, a que for maior</t>
        </r>
        <r>
          <rPr>
            <sz val="9"/>
            <color indexed="81"/>
            <rFont val="Tahoma"/>
            <family val="2"/>
          </rPr>
          <t>:
- 70 kPa para a Classe de Risco Ligeiro (RL).
- 35 kPa para as Classes de Risco Ordinário (RO1, RO2 e RO3).
- 50 kPa para as Classes de Risco Extra (REP1, REP2 e REP3).
- 100 kPa para sprinklers K 115 intermédios em estantes.
- 200 kPa para sprinklers K 80 intermédios em estantes.</t>
        </r>
      </text>
    </comment>
    <comment ref="L10" authorId="1" shapeId="0" xr:uid="{00000000-0006-0000-0000-000012000000}">
      <text>
        <r>
          <rPr>
            <sz val="9"/>
            <color indexed="81"/>
            <rFont val="Tahoma"/>
            <family val="2"/>
          </rPr>
          <t xml:space="preserve">Introduzir o </t>
        </r>
        <r>
          <rPr>
            <b/>
            <sz val="9"/>
            <color indexed="81"/>
            <rFont val="Tahoma"/>
            <family val="2"/>
          </rPr>
          <t xml:space="preserve">caudal unitário a dispersar por </t>
        </r>
        <r>
          <rPr>
            <b/>
            <i/>
            <sz val="9"/>
            <color indexed="81"/>
            <rFont val="Tahoma"/>
            <family val="2"/>
          </rPr>
          <t>sprinkler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densidade de descarga</t>
        </r>
        <r>
          <rPr>
            <sz val="9"/>
            <color indexed="81"/>
            <rFont val="Tahoma"/>
            <family val="2"/>
          </rPr>
          <t xml:space="preserve">) caso seja diferente do valor proposto por defeito (ver </t>
        </r>
        <r>
          <rPr>
            <b/>
            <sz val="9"/>
            <color indexed="81"/>
            <rFont val="Tahoma"/>
            <family val="2"/>
          </rPr>
          <t>Gráficos 1 ou 2 NFPA 13</t>
        </r>
        <r>
          <rPr>
            <sz val="9"/>
            <color indexed="81"/>
            <rFont val="Tahoma"/>
            <family val="2"/>
          </rPr>
          <t xml:space="preserve"> ou </t>
        </r>
        <r>
          <rPr>
            <b/>
            <sz val="9"/>
            <color indexed="81"/>
            <rFont val="Tahoma"/>
            <family val="2"/>
          </rPr>
          <t>Quadro 3 dos critérios RTSCIE</t>
        </r>
        <r>
          <rPr>
            <sz val="9"/>
            <color indexed="81"/>
            <rFont val="Tahoma"/>
            <family val="2"/>
          </rPr>
          <t xml:space="preserve"> ou </t>
        </r>
        <r>
          <rPr>
            <b/>
            <sz val="9"/>
            <color indexed="81"/>
            <rFont val="Tahoma"/>
            <family val="2"/>
          </rPr>
          <t>EN 12845</t>
        </r>
        <r>
          <rPr>
            <sz val="9"/>
            <color indexed="81"/>
            <rFont val="Tahoma"/>
            <family val="2"/>
          </rPr>
          <t>).</t>
        </r>
      </text>
    </comment>
    <comment ref="L11" authorId="1" shapeId="0" xr:uid="{00000000-0006-0000-0000-000013000000}">
      <text>
        <r>
          <rPr>
            <sz val="9"/>
            <color indexed="81"/>
            <rFont val="Tahoma"/>
            <family val="2"/>
          </rPr>
          <t>Caso pretenda um valor diferente do proposto por defeito em conformidade com o</t>
        </r>
        <r>
          <rPr>
            <b/>
            <sz val="9"/>
            <color indexed="81"/>
            <rFont val="Tahoma"/>
            <family val="2"/>
          </rPr>
          <t xml:space="preserve"> Quadro 4</t>
        </r>
        <r>
          <rPr>
            <sz val="9"/>
            <color indexed="81"/>
            <rFont val="Tahoma"/>
            <family val="2"/>
          </rPr>
          <t xml:space="preserve">, inserir directamente o </t>
        </r>
        <r>
          <rPr>
            <b/>
            <sz val="9"/>
            <color indexed="81"/>
            <rFont val="Tahoma"/>
            <family val="2"/>
          </rPr>
          <t xml:space="preserve">factor de caudal métrico dos </t>
        </r>
        <r>
          <rPr>
            <b/>
            <i/>
            <sz val="9"/>
            <color indexed="81"/>
            <rFont val="Tahoma"/>
            <family val="2"/>
          </rPr>
          <t>sprinklers</t>
        </r>
        <r>
          <rPr>
            <sz val="9"/>
            <color indexed="81"/>
            <rFont val="Tahoma"/>
            <family val="2"/>
          </rPr>
          <t xml:space="preserve">.
Nota: </t>
        </r>
        <r>
          <rPr>
            <i/>
            <sz val="9"/>
            <color indexed="81"/>
            <rFont val="Tahoma"/>
            <family val="2"/>
          </rPr>
          <t>Sprinklers</t>
        </r>
        <r>
          <rPr>
            <sz val="9"/>
            <color indexed="81"/>
            <rFont val="Tahoma"/>
            <family val="2"/>
          </rPr>
          <t xml:space="preserve"> em conformidade com a norma </t>
        </r>
        <r>
          <rPr>
            <b/>
            <sz val="9"/>
            <color indexed="81"/>
            <rFont val="Tahoma"/>
            <family val="2"/>
          </rPr>
          <t>EN 12259-1</t>
        </r>
        <r>
          <rPr>
            <sz val="9"/>
            <color indexed="81"/>
            <rFont val="Tahoma"/>
            <family val="2"/>
          </rPr>
          <t>.</t>
        </r>
      </text>
    </comment>
    <comment ref="L12" authorId="1" shapeId="0" xr:uid="{00000000-0006-0000-0000-000014000000}">
      <text>
        <r>
          <rPr>
            <sz val="9"/>
            <color indexed="81"/>
            <rFont val="Tahoma"/>
            <family val="2"/>
          </rPr>
          <t xml:space="preserve">Introduzir a </t>
        </r>
        <r>
          <rPr>
            <b/>
            <sz val="9"/>
            <color indexed="81"/>
            <rFont val="Tahoma"/>
            <family val="2"/>
          </rPr>
          <t>perda de carga dinâmica admissível nos ramais principais</t>
        </r>
        <r>
          <rPr>
            <sz val="9"/>
            <color indexed="81"/>
            <rFont val="Tahoma"/>
            <family val="2"/>
          </rPr>
          <t xml:space="preserve"> caso seja diferente do valor proposto por defeito.</t>
        </r>
      </text>
    </comment>
    <comment ref="L13" authorId="1" shapeId="0" xr:uid="{00000000-0006-0000-0000-000015000000}">
      <text>
        <r>
          <rPr>
            <sz val="9"/>
            <color indexed="81"/>
            <rFont val="Tahoma"/>
            <family val="2"/>
          </rPr>
          <t xml:space="preserve">Introduzir a </t>
        </r>
        <r>
          <rPr>
            <b/>
            <sz val="9"/>
            <color indexed="81"/>
            <rFont val="Tahoma"/>
            <family val="2"/>
          </rPr>
          <t>velocidade de escoamento admissível</t>
        </r>
        <r>
          <rPr>
            <sz val="9"/>
            <color indexed="81"/>
            <rFont val="Tahoma"/>
            <family val="2"/>
          </rPr>
          <t xml:space="preserve"> caso seja diferente do valor proposto por defeito.</t>
        </r>
      </text>
    </comment>
    <comment ref="S13" authorId="1" shapeId="0" xr:uid="{00000000-0006-0000-0000-000016000000}">
      <text>
        <r>
          <rPr>
            <sz val="9"/>
            <color indexed="81"/>
            <rFont val="Tahoma"/>
            <family val="2"/>
          </rPr>
          <t xml:space="preserve">Introduzir a </t>
        </r>
        <r>
          <rPr>
            <b/>
            <sz val="9"/>
            <color indexed="81"/>
            <rFont val="Tahoma"/>
            <family val="2"/>
          </rPr>
          <t>velocidade de escoamento mínima</t>
        </r>
        <r>
          <rPr>
            <sz val="9"/>
            <color indexed="81"/>
            <rFont val="Tahoma"/>
            <family val="2"/>
          </rPr>
          <t xml:space="preserve"> caso seja diferente do valor proposto por defeito.</t>
        </r>
      </text>
    </comment>
    <comment ref="L14" authorId="1" shapeId="0" xr:uid="{00000000-0006-0000-0000-000017000000}">
      <text>
        <r>
          <rPr>
            <sz val="9"/>
            <color indexed="81"/>
            <rFont val="Tahoma"/>
            <family val="2"/>
          </rPr>
          <t xml:space="preserve">Impor, </t>
        </r>
        <r>
          <rPr>
            <b/>
            <sz val="9"/>
            <color indexed="81"/>
            <rFont val="Tahoma"/>
            <family val="2"/>
          </rPr>
          <t>se necessário</t>
        </r>
        <r>
          <rPr>
            <sz val="9"/>
            <color indexed="81"/>
            <rFont val="Tahoma"/>
            <family val="2"/>
          </rPr>
          <t>, o valor percentual de afectação das perdas de carga locais (em %) no caso de pretender um valor diferente do proposto por defeito.</t>
        </r>
      </text>
    </comment>
    <comment ref="L15" authorId="1" shapeId="0" xr:uid="{00000000-0006-0000-0000-000018000000}">
      <text>
        <r>
          <rPr>
            <sz val="9"/>
            <color indexed="81"/>
            <rFont val="Tahoma"/>
            <family val="2"/>
          </rPr>
          <t xml:space="preserve">Caso pretenda efectuar o dimensionamento utilizando a </t>
        </r>
        <r>
          <rPr>
            <b/>
            <sz val="9"/>
            <color indexed="81"/>
            <rFont val="Tahoma"/>
            <family val="2"/>
          </rPr>
          <t>Fórmula de Flamant</t>
        </r>
        <r>
          <rPr>
            <sz val="9"/>
            <color indexed="81"/>
            <rFont val="Tahoma"/>
            <family val="2"/>
          </rPr>
          <t xml:space="preserve">, marcar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>.</t>
        </r>
      </text>
    </comment>
    <comment ref="L16" authorId="1" shapeId="0" xr:uid="{00000000-0006-0000-0000-000019000000}">
      <text>
        <r>
          <rPr>
            <sz val="9"/>
            <color indexed="81"/>
            <rFont val="Tahoma"/>
            <family val="2"/>
          </rPr>
          <t xml:space="preserve">Impor, </t>
        </r>
        <r>
          <rPr>
            <b/>
            <sz val="9"/>
            <color indexed="81"/>
            <rFont val="Tahoma"/>
            <family val="2"/>
          </rPr>
          <t>se necessário</t>
        </r>
        <r>
          <rPr>
            <sz val="9"/>
            <color indexed="81"/>
            <rFont val="Tahoma"/>
            <family val="2"/>
          </rPr>
          <t xml:space="preserve">, o valor da </t>
        </r>
        <r>
          <rPr>
            <b/>
            <sz val="9"/>
            <color indexed="81"/>
            <rFont val="Tahoma"/>
            <family val="2"/>
          </rPr>
          <t>constante de rugosidade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Tahoma"/>
            <family val="2"/>
          </rPr>
          <t>C</t>
        </r>
        <r>
          <rPr>
            <sz val="9"/>
            <color indexed="81"/>
            <rFont val="Tahoma"/>
            <family val="2"/>
          </rPr>
          <t xml:space="preserve"> - </t>
        </r>
        <r>
          <rPr>
            <b/>
            <sz val="9"/>
            <color indexed="81"/>
            <rFont val="Tahoma"/>
            <family val="2"/>
          </rPr>
          <t>Fórmula de Hazen &amp; Williams</t>
        </r>
        <r>
          <rPr>
            <sz val="9"/>
            <color indexed="81"/>
            <rFont val="Tahoma"/>
            <family val="2"/>
          </rPr>
          <t xml:space="preserve"> ou </t>
        </r>
        <r>
          <rPr>
            <b/>
            <sz val="9"/>
            <color indexed="81"/>
            <rFont val="Tahoma"/>
            <family val="2"/>
          </rPr>
          <t>b</t>
        </r>
        <r>
          <rPr>
            <sz val="9"/>
            <color indexed="81"/>
            <rFont val="Tahoma"/>
            <family val="2"/>
          </rPr>
          <t xml:space="preserve"> - </t>
        </r>
        <r>
          <rPr>
            <b/>
            <sz val="9"/>
            <color indexed="81"/>
            <rFont val="Tahoma"/>
            <family val="2"/>
          </rPr>
          <t>Fórmula de Flamant</t>
        </r>
        <r>
          <rPr>
            <sz val="9"/>
            <color indexed="81"/>
            <rFont val="Tahoma"/>
            <family val="2"/>
          </rPr>
          <t>) para tubos de aço na condução de água fria.</t>
        </r>
      </text>
    </comment>
    <comment ref="AI16" authorId="0" shapeId="0" xr:uid="{00000000-0006-0000-0000-00001A000000}">
      <text>
        <r>
          <rPr>
            <sz val="9"/>
            <color indexed="81"/>
            <rFont val="Tahoma"/>
            <family val="2"/>
          </rPr>
          <t>Impor outro valor percentual para o rendimento no cálculo da potência (</t>
        </r>
        <r>
          <rPr>
            <b/>
            <sz val="9"/>
            <color indexed="81"/>
            <rFont val="Tahoma"/>
            <family val="2"/>
          </rPr>
          <t>por defeito considera um rendimento de 75 %</t>
        </r>
        <r>
          <rPr>
            <sz val="9"/>
            <color indexed="81"/>
            <rFont val="Tahoma"/>
            <family val="2"/>
          </rPr>
          <t>).</t>
        </r>
      </text>
    </comment>
    <comment ref="AU16" authorId="0" shapeId="0" xr:uid="{00000000-0006-0000-0000-00001B000000}">
      <text>
        <r>
          <rPr>
            <sz val="9"/>
            <color indexed="81"/>
            <rFont val="Tahoma"/>
            <family val="2"/>
          </rPr>
          <t>Impor outro valor percentual para o rendimento no cálculo da potência (</t>
        </r>
        <r>
          <rPr>
            <b/>
            <sz val="9"/>
            <color indexed="81"/>
            <rFont val="Tahoma"/>
            <family val="2"/>
          </rPr>
          <t>por defeito considera um rendimento de 75 %</t>
        </r>
        <r>
          <rPr>
            <sz val="9"/>
            <color indexed="81"/>
            <rFont val="Tahoma"/>
            <family val="2"/>
          </rPr>
          <t xml:space="preserve">).
</t>
        </r>
        <r>
          <rPr>
            <b/>
            <sz val="9"/>
            <color indexed="81"/>
            <rFont val="Tahoma"/>
            <family val="2"/>
          </rPr>
          <t>Atenção:</t>
        </r>
        <r>
          <rPr>
            <sz val="9"/>
            <color indexed="81"/>
            <rFont val="Tahoma"/>
            <family val="2"/>
          </rPr>
          <t xml:space="preserve"> A estimativa da potência não considera o eventual impacto da tubagem de aspiração.</t>
        </r>
      </text>
    </comment>
    <comment ref="M17" authorId="1" shapeId="0" xr:uid="{00000000-0006-0000-0000-00001C000000}">
      <text>
        <r>
          <rPr>
            <sz val="9"/>
            <color indexed="81"/>
            <rFont val="Arial"/>
            <family val="2"/>
          </rPr>
          <t xml:space="preserve">Designar o sistema de unidades para o </t>
        </r>
        <r>
          <rPr>
            <b/>
            <sz val="9"/>
            <color indexed="81"/>
            <rFont val="Arial"/>
            <family val="2"/>
          </rPr>
          <t>caudal</t>
        </r>
        <r>
          <rPr>
            <sz val="9"/>
            <color indexed="81"/>
            <rFont val="Arial"/>
            <family val="2"/>
          </rPr>
          <t xml:space="preserve">, com as seguintes possibilidades: </t>
        </r>
        <r>
          <rPr>
            <b/>
            <sz val="9"/>
            <color indexed="81"/>
            <rFont val="Arial"/>
            <family val="2"/>
          </rPr>
          <t>l/s</t>
        </r>
        <r>
          <rPr>
            <sz val="9"/>
            <color indexed="81"/>
            <rFont val="Arial"/>
            <family val="2"/>
          </rPr>
          <t xml:space="preserve"> ,</t>
        </r>
        <r>
          <rPr>
            <b/>
            <sz val="9"/>
            <color indexed="81"/>
            <rFont val="Arial"/>
            <family val="2"/>
          </rPr>
          <t xml:space="preserve"> l/min </t>
        </r>
        <r>
          <rPr>
            <sz val="9"/>
            <color indexed="81"/>
            <rFont val="Arial"/>
            <family val="2"/>
          </rPr>
          <t xml:space="preserve">, </t>
        </r>
        <r>
          <rPr>
            <b/>
            <sz val="9"/>
            <color indexed="81"/>
            <rFont val="Arial"/>
            <family val="2"/>
          </rPr>
          <t>l/h</t>
        </r>
        <r>
          <rPr>
            <sz val="9"/>
            <color indexed="81"/>
            <rFont val="Arial"/>
            <family val="2"/>
          </rPr>
          <t xml:space="preserve"> ou </t>
        </r>
        <r>
          <rPr>
            <b/>
            <sz val="9"/>
            <color indexed="81"/>
            <rFont val="Arial"/>
            <family val="2"/>
          </rPr>
          <t>m</t>
        </r>
        <r>
          <rPr>
            <b/>
            <vertAlign val="superscript"/>
            <sz val="9"/>
            <color indexed="81"/>
            <rFont val="Arial"/>
            <family val="2"/>
          </rPr>
          <t>3</t>
        </r>
        <r>
          <rPr>
            <b/>
            <sz val="9"/>
            <color indexed="81"/>
            <rFont val="Arial"/>
            <family val="2"/>
          </rPr>
          <t>/h</t>
        </r>
        <r>
          <rPr>
            <sz val="9"/>
            <color indexed="81"/>
            <rFont val="Arial"/>
            <family val="2"/>
          </rPr>
          <t>.</t>
        </r>
      </text>
    </comment>
    <comment ref="M18" authorId="1" shapeId="0" xr:uid="{00000000-0006-0000-0000-00001D000000}">
      <text>
        <r>
          <rPr>
            <sz val="9"/>
            <color indexed="81"/>
            <rFont val="Arial"/>
            <family val="2"/>
          </rPr>
          <t xml:space="preserve">Designar o sistema de unidades para a </t>
        </r>
        <r>
          <rPr>
            <b/>
            <sz val="9"/>
            <color indexed="81"/>
            <rFont val="Arial"/>
            <family val="2"/>
          </rPr>
          <t>pressão</t>
        </r>
        <r>
          <rPr>
            <sz val="9"/>
            <color indexed="81"/>
            <rFont val="Arial"/>
            <family val="2"/>
          </rPr>
          <t xml:space="preserve">, com as seguintes possibilidades: </t>
        </r>
        <r>
          <rPr>
            <b/>
            <sz val="9"/>
            <color indexed="81"/>
            <rFont val="Arial"/>
            <family val="2"/>
          </rPr>
          <t>kPa</t>
        </r>
        <r>
          <rPr>
            <sz val="9"/>
            <color indexed="81"/>
            <rFont val="Arial"/>
            <family val="2"/>
          </rPr>
          <t xml:space="preserve"> , </t>
        </r>
        <r>
          <rPr>
            <b/>
            <sz val="9"/>
            <color indexed="81"/>
            <rFont val="Arial"/>
            <family val="2"/>
          </rPr>
          <t>bar</t>
        </r>
        <r>
          <rPr>
            <sz val="9"/>
            <color indexed="81"/>
            <rFont val="Arial"/>
            <family val="2"/>
          </rPr>
          <t xml:space="preserve"> , </t>
        </r>
        <r>
          <rPr>
            <b/>
            <sz val="9"/>
            <color indexed="81"/>
            <rFont val="Arial"/>
            <family val="2"/>
          </rPr>
          <t>m.c.a.</t>
        </r>
        <r>
          <rPr>
            <sz val="9"/>
            <color indexed="81"/>
            <rFont val="Arial"/>
            <family val="2"/>
          </rPr>
          <t xml:space="preserve"> ou </t>
        </r>
        <r>
          <rPr>
            <b/>
            <sz val="9"/>
            <color indexed="81"/>
            <rFont val="Arial"/>
            <family val="2"/>
          </rPr>
          <t>kgf/cm</t>
        </r>
        <r>
          <rPr>
            <b/>
            <vertAlign val="superscript"/>
            <sz val="9"/>
            <color indexed="81"/>
            <rFont val="Arial"/>
            <family val="2"/>
          </rPr>
          <t>2</t>
        </r>
        <r>
          <rPr>
            <sz val="9"/>
            <color indexed="81"/>
            <rFont val="Arial"/>
            <family val="2"/>
          </rPr>
          <t>.</t>
        </r>
      </text>
    </comment>
    <comment ref="AG18" authorId="0" shapeId="0" xr:uid="{425A1821-76D0-4E53-886F-547AC4D90AA8}">
      <text>
        <r>
          <rPr>
            <sz val="9"/>
            <color indexed="81"/>
            <rFont val="Tahoma"/>
            <family val="2"/>
          </rPr>
          <t xml:space="preserve">O volume do reservatório é calculado com base num caudal mínimo correspondente ao caudal de sobrecarga (=1,4xNecessidade de caudal). Em conformidade com a norma </t>
        </r>
        <r>
          <rPr>
            <b/>
            <sz val="9"/>
            <color indexed="81"/>
            <rFont val="Tahoma"/>
            <family val="2"/>
          </rPr>
          <t>EN 12845</t>
        </r>
        <r>
          <rPr>
            <sz val="9"/>
            <color indexed="81"/>
            <rFont val="Tahoma"/>
            <family val="2"/>
          </rPr>
          <t xml:space="preserve"> e a </t>
        </r>
        <r>
          <rPr>
            <b/>
            <sz val="9"/>
            <color indexed="81"/>
            <rFont val="Tahoma"/>
            <family val="2"/>
          </rPr>
          <t>Nota Técnica n.º 15 da ANEPC</t>
        </r>
        <r>
          <rPr>
            <sz val="9"/>
            <color indexed="81"/>
            <rFont val="Tahoma"/>
            <family val="2"/>
          </rPr>
          <t xml:space="preserve"> (Autoridade Nacional de Emergência e Proteção Civil), a bomba deve ser capaz de fornecer 140% da necessidade de caudal a uma pressão não inferior a 70% da necessidade de pressão.</t>
        </r>
      </text>
    </comment>
    <comment ref="AI18" authorId="0" shapeId="0" xr:uid="{00000000-0006-0000-0000-00001E000000}">
      <text>
        <r>
          <rPr>
            <sz val="9"/>
            <color indexed="81"/>
            <rFont val="Tahoma"/>
            <family val="2"/>
          </rPr>
          <t xml:space="preserve">Introduzir um valor da autonomia temporal da R.I. (em </t>
        </r>
        <r>
          <rPr>
            <b/>
            <sz val="9"/>
            <color indexed="81"/>
            <rFont val="Tahoma"/>
            <family val="2"/>
          </rPr>
          <t>minutos</t>
        </r>
        <r>
          <rPr>
            <sz val="9"/>
            <color indexed="81"/>
            <rFont val="Tahoma"/>
            <family val="2"/>
          </rPr>
          <t xml:space="preserve">) diferente do proposto.
O volume do reservatório é calculado com base num caudal mínimo correspondente ao caudal de sobrecarga (=1,4xNecessidade de caudal). Em conformidade com a norma </t>
        </r>
        <r>
          <rPr>
            <b/>
            <sz val="9"/>
            <color indexed="81"/>
            <rFont val="Tahoma"/>
            <family val="2"/>
          </rPr>
          <t>EN 12845</t>
        </r>
        <r>
          <rPr>
            <sz val="9"/>
            <color indexed="81"/>
            <rFont val="Tahoma"/>
            <family val="2"/>
          </rPr>
          <t xml:space="preserve"> e a </t>
        </r>
        <r>
          <rPr>
            <b/>
            <sz val="9"/>
            <color indexed="81"/>
            <rFont val="Tahoma"/>
            <family val="2"/>
          </rPr>
          <t>Nota Técnica n.º 15 da ANEPC</t>
        </r>
        <r>
          <rPr>
            <sz val="9"/>
            <color indexed="81"/>
            <rFont val="Tahoma"/>
            <family val="2"/>
          </rPr>
          <t xml:space="preserve"> (Autoridade Nacional de Emergência e Proteção Civil), a bomba deve ser capaz de fornecer 140% da necessidade de caudal a uma pressão não inferior a 70% da necessidade de pressão.</t>
        </r>
      </text>
    </comment>
    <comment ref="F23" authorId="0" shapeId="0" xr:uid="{00000000-0006-0000-0000-00001F000000}">
      <text>
        <r>
          <rPr>
            <sz val="9"/>
            <color indexed="81"/>
            <rFont val="Tahoma"/>
            <family val="2"/>
          </rPr>
          <t xml:space="preserve">Introduzir o código identificativo (letra ou número) </t>
        </r>
        <r>
          <rPr>
            <b/>
            <sz val="9"/>
            <color indexed="81"/>
            <rFont val="Tahoma"/>
            <family val="2"/>
          </rPr>
          <t xml:space="preserve">do início do troço </t>
        </r>
        <r>
          <rPr>
            <sz val="9"/>
            <color indexed="81"/>
            <rFont val="Tahoma"/>
            <family val="2"/>
          </rPr>
          <t xml:space="preserve">em análise.
É fundamental codificar ou numerar sequencialmente, a partir do sprinkler mais afastado da fonte de alimentação, </t>
        </r>
        <r>
          <rPr>
            <b/>
            <sz val="9"/>
            <color indexed="81"/>
            <rFont val="Tahoma"/>
            <family val="2"/>
          </rPr>
          <t>designado por S1</t>
        </r>
        <r>
          <rPr>
            <sz val="9"/>
            <color indexed="81"/>
            <rFont val="Tahoma"/>
            <family val="2"/>
          </rPr>
          <t xml:space="preserve">, todos os sprinklers em funcionamento simultâneo, </t>
        </r>
        <r>
          <rPr>
            <b/>
            <sz val="9"/>
            <color indexed="81"/>
            <rFont val="Tahoma"/>
            <family val="2"/>
          </rPr>
          <t>designados por S2, S3,....., S6</t>
        </r>
        <r>
          <rPr>
            <sz val="9"/>
            <color indexed="81"/>
            <rFont val="Tahoma"/>
            <family val="2"/>
          </rPr>
          <t xml:space="preserve">, etc., que pertencem ao sub-ramal mais crítico, </t>
        </r>
        <r>
          <rPr>
            <b/>
            <sz val="9"/>
            <color indexed="81"/>
            <rFont val="Tahoma"/>
            <family val="2"/>
          </rPr>
          <t>em coerência com o limite estabelecido na especificação 1.7</t>
        </r>
        <r>
          <rPr>
            <sz val="9"/>
            <color indexed="81"/>
            <rFont val="Tahoma"/>
            <family val="2"/>
          </rPr>
          <t xml:space="preserve"> (no caso deste limite proposto por defeito não se adequar ao desenho da instalação, impor um valor adequado).
</t>
        </r>
        <r>
          <rPr>
            <b/>
            <sz val="9"/>
            <color indexed="81"/>
            <rFont val="Tahoma"/>
            <family val="2"/>
          </rPr>
          <t>Nota:</t>
        </r>
        <r>
          <rPr>
            <sz val="9"/>
            <color indexed="81"/>
            <rFont val="Tahoma"/>
            <family val="2"/>
          </rPr>
          <t xml:space="preserve"> o uso da nomenclatura referida é fundamental para o correcto desempenho do cálculo.</t>
        </r>
      </text>
    </comment>
    <comment ref="G23" authorId="0" shapeId="0" xr:uid="{00000000-0006-0000-0000-000020000000}">
      <text>
        <r>
          <rPr>
            <sz val="9"/>
            <color indexed="81"/>
            <rFont val="Tahoma"/>
            <family val="2"/>
          </rPr>
          <t xml:space="preserve">Introduzir o código identificativo (letra ou número) </t>
        </r>
        <r>
          <rPr>
            <b/>
            <sz val="9"/>
            <color indexed="81"/>
            <rFont val="Tahoma"/>
            <family val="2"/>
          </rPr>
          <t xml:space="preserve">do fim do troço </t>
        </r>
        <r>
          <rPr>
            <sz val="9"/>
            <color indexed="81"/>
            <rFont val="Tahoma"/>
            <family val="2"/>
          </rPr>
          <t xml:space="preserve">em análise.
É fundamental codificar ou numerar sequencialmente, a partir do sprinkler mais afastado da fonte de alimentação, </t>
        </r>
        <r>
          <rPr>
            <b/>
            <sz val="9"/>
            <color indexed="81"/>
            <rFont val="Tahoma"/>
            <family val="2"/>
          </rPr>
          <t>designado por S1</t>
        </r>
        <r>
          <rPr>
            <sz val="9"/>
            <color indexed="81"/>
            <rFont val="Tahoma"/>
            <family val="2"/>
          </rPr>
          <t xml:space="preserve">, todos os sprinklers em funcionamento simultâneo, </t>
        </r>
        <r>
          <rPr>
            <b/>
            <sz val="9"/>
            <color indexed="81"/>
            <rFont val="Tahoma"/>
            <family val="2"/>
          </rPr>
          <t>designados por S2, S3,....., S6,</t>
        </r>
        <r>
          <rPr>
            <sz val="9"/>
            <color indexed="81"/>
            <rFont val="Tahoma"/>
            <family val="2"/>
          </rPr>
          <t xml:space="preserve"> etc., que pertencem ao sub-ramal mais crítico, </t>
        </r>
        <r>
          <rPr>
            <b/>
            <sz val="9"/>
            <color indexed="81"/>
            <rFont val="Tahoma"/>
            <family val="2"/>
          </rPr>
          <t>em coerência com o limite estabelecido na especificação 1.7</t>
        </r>
        <r>
          <rPr>
            <sz val="9"/>
            <color indexed="81"/>
            <rFont val="Tahoma"/>
            <family val="2"/>
          </rPr>
          <t xml:space="preserve"> (no caso deste limite proposto por defeito não se adequar ao desenho da instalação, impor um valor adequado).
</t>
        </r>
        <r>
          <rPr>
            <b/>
            <sz val="9"/>
            <color indexed="81"/>
            <rFont val="Tahoma"/>
            <family val="2"/>
          </rPr>
          <t>Nota:</t>
        </r>
        <r>
          <rPr>
            <sz val="9"/>
            <color indexed="81"/>
            <rFont val="Tahoma"/>
            <family val="2"/>
          </rPr>
          <t xml:space="preserve"> o uso da nomenclatura referida é fundamental para o correcto desempenho do cálculo.</t>
        </r>
      </text>
    </comment>
    <comment ref="H23" authorId="1" shapeId="0" xr:uid="{00000000-0006-0000-0000-000021000000}">
      <text>
        <r>
          <rPr>
            <sz val="9"/>
            <color indexed="81"/>
            <rFont val="Tahoma"/>
            <family val="2"/>
          </rPr>
          <t xml:space="preserve">Introduzir o </t>
        </r>
        <r>
          <rPr>
            <b/>
            <sz val="9"/>
            <color indexed="81"/>
            <rFont val="Tahoma"/>
            <family val="2"/>
          </rPr>
          <t xml:space="preserve">número de </t>
        </r>
        <r>
          <rPr>
            <b/>
            <i/>
            <sz val="9"/>
            <color indexed="81"/>
            <rFont val="Tahoma"/>
            <family val="2"/>
          </rPr>
          <t>sprinklers</t>
        </r>
        <r>
          <rPr>
            <b/>
            <sz val="9"/>
            <color indexed="81"/>
            <rFont val="Tahoma"/>
            <family val="2"/>
          </rPr>
          <t xml:space="preserve">  abastecidos em simultâneo</t>
        </r>
        <r>
          <rPr>
            <sz val="9"/>
            <color indexed="81"/>
            <rFont val="Tahoma"/>
            <family val="2"/>
          </rPr>
          <t xml:space="preserve"> pelo troço em análise.</t>
        </r>
      </text>
    </comment>
    <comment ref="I23" authorId="1" shapeId="0" xr:uid="{00000000-0006-0000-0000-000022000000}">
      <text>
        <r>
          <rPr>
            <sz val="9"/>
            <color indexed="81"/>
            <rFont val="Tahoma"/>
            <family val="2"/>
          </rPr>
          <t xml:space="preserve">Introduzir o </t>
        </r>
        <r>
          <rPr>
            <b/>
            <sz val="9"/>
            <color indexed="81"/>
            <rFont val="Tahoma"/>
            <family val="2"/>
          </rPr>
          <t xml:space="preserve">número total de </t>
        </r>
        <r>
          <rPr>
            <b/>
            <i/>
            <sz val="9"/>
            <color indexed="81"/>
            <rFont val="Tahoma"/>
            <family val="2"/>
          </rPr>
          <t>sprinklers</t>
        </r>
        <r>
          <rPr>
            <b/>
            <sz val="9"/>
            <color indexed="81"/>
            <rFont val="Tahoma"/>
            <family val="2"/>
          </rPr>
          <t xml:space="preserve"> abastecidos </t>
        </r>
        <r>
          <rPr>
            <sz val="9"/>
            <color indexed="81"/>
            <rFont val="Tahoma"/>
            <family val="2"/>
          </rPr>
          <t>pelo troço em análise.</t>
        </r>
      </text>
    </comment>
    <comment ref="J23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Introduzir o comprimento do troço em análise (em </t>
        </r>
        <r>
          <rPr>
            <b/>
            <sz val="9"/>
            <color indexed="81"/>
            <rFont val="Tahoma"/>
            <family val="2"/>
          </rPr>
          <t>metros</t>
        </r>
        <r>
          <rPr>
            <sz val="9"/>
            <color indexed="81"/>
            <rFont val="Tahoma"/>
            <family val="2"/>
          </rPr>
          <t>).</t>
        </r>
      </text>
    </comment>
    <comment ref="K23" authorId="0" shapeId="0" xr:uid="{00000000-0006-0000-0000-000024000000}">
      <text>
        <r>
          <rPr>
            <sz val="9"/>
            <color indexed="81"/>
            <rFont val="Tahoma"/>
            <family val="2"/>
          </rPr>
          <t xml:space="preserve">Introduzir o desnível do troço (em </t>
        </r>
        <r>
          <rPr>
            <b/>
            <sz val="9"/>
            <color indexed="81"/>
            <rFont val="Tahoma"/>
            <family val="2"/>
          </rPr>
          <t>metros</t>
        </r>
        <r>
          <rPr>
            <sz val="9"/>
            <color indexed="81"/>
            <rFont val="Tahoma"/>
            <family val="2"/>
          </rPr>
          <t xml:space="preserve">).
</t>
        </r>
        <r>
          <rPr>
            <vertAlign val="superscript"/>
            <sz val="10"/>
            <color indexed="81"/>
            <rFont val="Tahoma"/>
            <family val="2"/>
          </rPr>
          <t>1)</t>
        </r>
        <r>
          <rPr>
            <sz val="8"/>
            <color indexed="81"/>
            <rFont val="Tahoma"/>
            <family val="2"/>
          </rPr>
          <t xml:space="preserve"> O valor da altura ou desnível deve ser </t>
        </r>
        <r>
          <rPr>
            <b/>
            <sz val="8"/>
            <color indexed="81"/>
            <rFont val="Tahoma"/>
            <family val="2"/>
          </rPr>
          <t xml:space="preserve">positivo (+) se o troço for ascendente </t>
        </r>
        <r>
          <rPr>
            <sz val="8"/>
            <color indexed="81"/>
            <rFont val="Tahoma"/>
            <family val="2"/>
          </rPr>
          <t xml:space="preserve">e </t>
        </r>
        <r>
          <rPr>
            <b/>
            <sz val="8"/>
            <color indexed="81"/>
            <rFont val="Tahoma"/>
            <family val="2"/>
          </rPr>
          <t>negativo (-) se o troço for descendente</t>
        </r>
        <r>
          <rPr>
            <sz val="8"/>
            <color indexed="81"/>
            <rFont val="Tahoma"/>
            <family val="2"/>
          </rPr>
          <t>.</t>
        </r>
      </text>
    </comment>
    <comment ref="L23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Opção:</t>
        </r>
        <r>
          <rPr>
            <sz val="9"/>
            <color indexed="81"/>
            <rFont val="Tahoma"/>
            <family val="2"/>
          </rPr>
          <t xml:space="preserve"> Introduzir no </t>
        </r>
        <r>
          <rPr>
            <b/>
            <sz val="9"/>
            <color indexed="81"/>
            <rFont val="Tahoma"/>
            <family val="2"/>
          </rPr>
          <t>Quadro 2</t>
        </r>
        <r>
          <rPr>
            <sz val="9"/>
            <color indexed="81"/>
            <rFont val="Tahoma"/>
            <family val="2"/>
          </rPr>
          <t xml:space="preserve"> as perdas de carga locais (em </t>
        </r>
        <r>
          <rPr>
            <b/>
            <sz val="9"/>
            <color indexed="81"/>
            <rFont val="Tahoma"/>
            <family val="2"/>
          </rPr>
          <t>metros</t>
        </r>
        <r>
          <rPr>
            <sz val="9"/>
            <color indexed="81"/>
            <rFont val="Tahoma"/>
            <family val="2"/>
          </rPr>
          <t>) referentes aos acessórios utilizados.</t>
        </r>
      </text>
    </comment>
    <comment ref="S23" authorId="1" shapeId="0" xr:uid="{00000000-0006-0000-0000-000026000000}">
      <text>
        <r>
          <rPr>
            <sz val="9"/>
            <color indexed="81"/>
            <rFont val="Tahoma"/>
            <family val="2"/>
          </rPr>
          <t xml:space="preserve">Aço da classe </t>
        </r>
        <r>
          <rPr>
            <b/>
            <sz val="9"/>
            <color indexed="81"/>
            <rFont val="Tahoma"/>
            <family val="2"/>
          </rPr>
          <t xml:space="preserve">S235 </t>
        </r>
        <r>
          <rPr>
            <sz val="9"/>
            <color indexed="81"/>
            <rFont val="Tahoma"/>
            <family val="2"/>
          </rPr>
          <t xml:space="preserve">conforme a norma </t>
        </r>
        <r>
          <rPr>
            <b/>
            <sz val="9"/>
            <color indexed="81"/>
            <rFont val="Tahoma"/>
            <family val="2"/>
          </rPr>
          <t>NP EN 10025-2</t>
        </r>
        <r>
          <rPr>
            <sz val="9"/>
            <color indexed="81"/>
            <rFont val="Tahoma"/>
            <family val="2"/>
          </rPr>
          <t>.</t>
        </r>
      </text>
    </comment>
    <comment ref="U23" authorId="0" shapeId="0" xr:uid="{00000000-0006-0000-0000-000027000000}">
      <text>
        <r>
          <rPr>
            <sz val="9"/>
            <color indexed="81"/>
            <rFont val="Tahoma"/>
            <family val="2"/>
          </rPr>
          <t xml:space="preserve">Impor, </t>
        </r>
        <r>
          <rPr>
            <b/>
            <sz val="9"/>
            <color indexed="81"/>
            <rFont val="Tahoma"/>
            <family val="2"/>
          </rPr>
          <t>se necessário</t>
        </r>
        <r>
          <rPr>
            <sz val="9"/>
            <color indexed="81"/>
            <rFont val="Tahoma"/>
            <family val="2"/>
          </rPr>
          <t xml:space="preserve">, o diâmetro interior mínimo do troço em análise (em </t>
        </r>
        <r>
          <rPr>
            <b/>
            <sz val="9"/>
            <color indexed="81"/>
            <rFont val="Tahoma"/>
            <family val="2"/>
          </rPr>
          <t>milímetros</t>
        </r>
        <r>
          <rPr>
            <sz val="9"/>
            <color indexed="81"/>
            <rFont val="Tahoma"/>
            <family val="2"/>
          </rPr>
          <t xml:space="preserve">).
</t>
        </r>
        <r>
          <rPr>
            <b/>
            <sz val="8"/>
            <color indexed="81"/>
            <rFont val="Tahoma"/>
            <family val="2"/>
          </rPr>
          <t>Nota</t>
        </r>
        <r>
          <rPr>
            <sz val="8"/>
            <color indexed="81"/>
            <rFont val="Tahoma"/>
            <family val="2"/>
          </rPr>
          <t xml:space="preserve">: Após a imposição do diâmetro interior mínimo, são automaticamente seleccionados os </t>
        </r>
        <r>
          <rPr>
            <b/>
            <sz val="8"/>
            <color indexed="81"/>
            <rFont val="Tahoma"/>
            <family val="2"/>
          </rPr>
          <t xml:space="preserve">diâmetros normalizados interior, exterior e comercial </t>
        </r>
        <r>
          <rPr>
            <sz val="8"/>
            <color indexed="81"/>
            <rFont val="Tahoma"/>
            <family val="2"/>
          </rPr>
          <t>correspondentes (</t>
        </r>
        <r>
          <rPr>
            <b/>
            <sz val="8"/>
            <color indexed="81"/>
            <rFont val="Tahoma"/>
            <family val="2"/>
          </rPr>
          <t xml:space="preserve">ver </t>
        </r>
        <r>
          <rPr>
            <b/>
            <sz val="9"/>
            <color indexed="81"/>
            <rFont val="Tahoma"/>
            <family val="2"/>
          </rPr>
          <t>Quadro 1</t>
        </r>
        <r>
          <rPr>
            <sz val="8"/>
            <color indexed="81"/>
            <rFont val="Tahoma"/>
            <family val="2"/>
          </rPr>
          <t xml:space="preserve">). </t>
        </r>
      </text>
    </comment>
    <comment ref="AA23" authorId="0" shapeId="0" xr:uid="{F62EC710-FA0B-4ADF-8878-D4DB14D75DFB}">
      <text>
        <r>
          <rPr>
            <sz val="9"/>
            <color indexed="81"/>
            <rFont val="Tahoma"/>
            <family val="2"/>
          </rPr>
          <t xml:space="preserve">Tubo de aço da série média, conforme a norma </t>
        </r>
        <r>
          <rPr>
            <b/>
            <sz val="9"/>
            <color indexed="81"/>
            <rFont val="Tahoma"/>
            <family val="2"/>
          </rPr>
          <t>NP EN 10255</t>
        </r>
        <r>
          <rPr>
            <sz val="9"/>
            <color indexed="81"/>
            <rFont val="Tahoma"/>
            <family val="2"/>
          </rPr>
          <t xml:space="preserve"> e com certificação obrigatória pela </t>
        </r>
        <r>
          <rPr>
            <b/>
            <sz val="9"/>
            <color indexed="81"/>
            <rFont val="Tahoma"/>
            <family val="2"/>
          </rPr>
          <t>CERTIF</t>
        </r>
        <r>
          <rPr>
            <sz val="9"/>
            <color indexed="81"/>
            <rFont val="Tahoma"/>
            <family val="2"/>
          </rPr>
          <t xml:space="preserve">.
Opção: Revestimento galvanizado conforme a norma </t>
        </r>
        <r>
          <rPr>
            <b/>
            <sz val="9"/>
            <color indexed="81"/>
            <rFont val="Tahoma"/>
            <family val="2"/>
          </rPr>
          <t>NP EN 10240</t>
        </r>
        <r>
          <rPr>
            <sz val="9"/>
            <color indexed="81"/>
            <rFont val="Tahoma"/>
            <family val="2"/>
          </rPr>
          <t>.</t>
        </r>
      </text>
    </comment>
    <comment ref="AR23" authorId="0" shapeId="0" xr:uid="{00000000-0006-0000-0000-000028000000}">
      <text>
        <r>
          <rPr>
            <sz val="9"/>
            <color indexed="81"/>
            <rFont val="Tahoma"/>
            <family val="2"/>
          </rPr>
          <t xml:space="preserve">Indicar, </t>
        </r>
        <r>
          <rPr>
            <b/>
            <sz val="9"/>
            <color indexed="81"/>
            <rFont val="Tahoma"/>
            <family val="2"/>
          </rPr>
          <t>caso o troço em análise seja repetido noutras zonas da instalação em análise e não contabilizadadas neste dimensionamento</t>
        </r>
        <r>
          <rPr>
            <sz val="9"/>
            <color indexed="81"/>
            <rFont val="Tahoma"/>
            <family val="2"/>
          </rPr>
          <t xml:space="preserve">, o número de vezes que o troço está presente na instalação (frequência).
</t>
        </r>
        <r>
          <rPr>
            <b/>
            <sz val="8"/>
            <color indexed="81"/>
            <rFont val="Tahoma"/>
            <family val="2"/>
          </rPr>
          <t>Nota</t>
        </r>
        <r>
          <rPr>
            <sz val="8"/>
            <color indexed="81"/>
            <rFont val="Tahoma"/>
            <family val="2"/>
          </rPr>
          <t xml:space="preserve">: Esta indicação </t>
        </r>
        <r>
          <rPr>
            <b/>
            <sz val="8"/>
            <color indexed="81"/>
            <rFont val="Tahoma"/>
            <family val="2"/>
          </rPr>
          <t>não tem qualquer influência no dimensionamento</t>
        </r>
        <r>
          <rPr>
            <sz val="8"/>
            <color indexed="81"/>
            <rFont val="Tahoma"/>
            <family val="2"/>
          </rPr>
          <t xml:space="preserve">, destina-se unicamente a estimar </t>
        </r>
        <r>
          <rPr>
            <b/>
            <sz val="8"/>
            <color indexed="81"/>
            <rFont val="Tahoma"/>
            <family val="2"/>
          </rPr>
          <t>com maior exactidão o consumo de tubos de aço</t>
        </r>
        <r>
          <rPr>
            <sz val="8"/>
            <color indexed="81"/>
            <rFont val="Tahoma"/>
            <family val="2"/>
          </rPr>
          <t xml:space="preserve"> (ver resumo de consumos em baixo). </t>
        </r>
      </text>
    </comment>
    <comment ref="AA24" authorId="0" shapeId="0" xr:uid="{B572D713-1E1C-405E-B65D-6877312603A9}">
      <text>
        <r>
          <rPr>
            <sz val="10"/>
            <color indexed="81"/>
            <rFont val="Tahoma"/>
            <family val="2"/>
          </rPr>
          <t xml:space="preserve">Ligação ranhurada ou roscada do tipo </t>
        </r>
        <r>
          <rPr>
            <b/>
            <sz val="10"/>
            <color indexed="81"/>
            <rFont val="Tahoma"/>
            <family val="2"/>
          </rPr>
          <t>R</t>
        </r>
        <r>
          <rPr>
            <sz val="10"/>
            <color indexed="81"/>
            <rFont val="Tahoma"/>
            <family val="2"/>
          </rPr>
          <t xml:space="preserve"> conforme a norma </t>
        </r>
        <r>
          <rPr>
            <b/>
            <sz val="10"/>
            <color indexed="81"/>
            <rFont val="Tahoma"/>
            <family val="2"/>
          </rPr>
          <t>NP EN 10226-1</t>
        </r>
        <r>
          <rPr>
            <sz val="10"/>
            <color indexed="81"/>
            <rFont val="Tahoma"/>
            <family val="2"/>
          </rPr>
          <t>.</t>
        </r>
      </text>
    </comment>
    <comment ref="AG52" authorId="0" shapeId="0" xr:uid="{00000000-0006-0000-0000-000029000000}">
      <text>
        <r>
          <rPr>
            <sz val="10"/>
            <color indexed="81"/>
            <rFont val="Tahoma"/>
            <family val="2"/>
          </rPr>
          <t xml:space="preserve">
</t>
        </r>
      </text>
    </comment>
    <comment ref="AG55" authorId="0" shapeId="0" xr:uid="{00000000-0006-0000-0000-00002B000000}">
      <text>
        <r>
          <rPr>
            <sz val="10"/>
            <color indexed="81"/>
            <rFont val="Tahoma"/>
            <family val="2"/>
          </rPr>
          <t xml:space="preserve">
</t>
        </r>
      </text>
    </comment>
    <comment ref="AG56" authorId="0" shapeId="0" xr:uid="{00000000-0006-0000-0000-00002C000000}">
      <text>
        <r>
          <rPr>
            <sz val="10"/>
            <color indexed="81"/>
            <rFont val="Tahoma"/>
            <family val="2"/>
          </rPr>
          <t xml:space="preserve">
</t>
        </r>
      </text>
    </comment>
    <comment ref="G57" authorId="0" shapeId="0" xr:uid="{00000000-0006-0000-0000-00002D000000}">
      <text>
        <r>
          <rPr>
            <sz val="10"/>
            <color indexed="81"/>
            <rFont val="Arial"/>
            <family val="2"/>
          </rPr>
          <t xml:space="preserve">Exmos Senhores Profissionais: </t>
        </r>
        <r>
          <rPr>
            <b/>
            <sz val="10"/>
            <color indexed="81"/>
            <rFont val="Arial"/>
            <family val="2"/>
          </rPr>
          <t>Donos de Obra</t>
        </r>
        <r>
          <rPr>
            <sz val="10"/>
            <color indexed="81"/>
            <rFont val="Arial"/>
            <family val="2"/>
          </rPr>
          <t xml:space="preserve">, </t>
        </r>
        <r>
          <rPr>
            <b/>
            <sz val="10"/>
            <color indexed="81"/>
            <rFont val="Arial"/>
            <family val="2"/>
          </rPr>
          <t>Projectistas</t>
        </r>
        <r>
          <rPr>
            <sz val="10"/>
            <color indexed="81"/>
            <rFont val="Arial"/>
            <family val="2"/>
          </rPr>
          <t xml:space="preserve">, </t>
        </r>
        <r>
          <rPr>
            <b/>
            <sz val="10"/>
            <color indexed="81"/>
            <rFont val="Arial"/>
            <family val="2"/>
          </rPr>
          <t>Instaladores</t>
        </r>
        <r>
          <rPr>
            <sz val="10"/>
            <color indexed="81"/>
            <rFont val="Arial"/>
            <family val="2"/>
          </rPr>
          <t xml:space="preserve">, </t>
        </r>
        <r>
          <rPr>
            <b/>
            <sz val="10"/>
            <color indexed="81"/>
            <rFont val="Arial"/>
            <family val="2"/>
          </rPr>
          <t>Fiscalizadores</t>
        </r>
        <r>
          <rPr>
            <sz val="10"/>
            <color indexed="81"/>
            <rFont val="Arial"/>
            <family val="2"/>
          </rPr>
          <t xml:space="preserve">, </t>
        </r>
        <r>
          <rPr>
            <b/>
            <sz val="10"/>
            <color indexed="81"/>
            <rFont val="Arial"/>
            <family val="2"/>
          </rPr>
          <t>ANEPC</t>
        </r>
        <r>
          <rPr>
            <sz val="10"/>
            <color indexed="81"/>
            <rFont val="Arial"/>
            <family val="2"/>
          </rPr>
          <t xml:space="preserve">:
       Respeitem e façam respeitar as preocupações de execução de redes da canalização de fluídos, consagrada em termos legais no Regulamento Geral dos Sistemas Públicos e Prediais de Distribuição de Água e de Drenagem de Águas Residuais (D.R. n.º 23/95, de 23 de Agosto), em matéria de prevenção da  Corrosão Galvânica.
       Na execução de redes de canalização de águas e em particular nos sistemas e redes de segurança contra incêndios, utilize sempre materiais homogéneos e nunca misture tubos de aço preto ou galvanizado com acessórios de ligação em latão ou bronze.  
       As ligações entre tubos de aço preto ou galvanizado devem ser efectuados com recurso a acessórios roscados em ferro maleável pretos ou galvanizados respectivamente.
       No que concerne à qualidade dos galvanizados, exija que a mesma seja a adequada para a condução de fluídos, isto é, utilize tubos de aço e acessórios em ferro maleável devidamente certificados, cujo revestimento de galvanização cumpra as normas de qualidade:
       · Norma Europeia </t>
        </r>
        <r>
          <rPr>
            <b/>
            <sz val="10"/>
            <color indexed="81"/>
            <rFont val="Arial"/>
            <family val="2"/>
          </rPr>
          <t>NP EN 10240</t>
        </r>
        <r>
          <rPr>
            <sz val="10"/>
            <color indexed="81"/>
            <rFont val="Arial"/>
            <family val="2"/>
          </rPr>
          <t xml:space="preserve"> para o galvanizado de tubos de aço para canalizações.
       · Norma Europeia </t>
        </r>
        <r>
          <rPr>
            <b/>
            <sz val="10"/>
            <color indexed="81"/>
            <rFont val="Arial"/>
            <family val="2"/>
          </rPr>
          <t>NP EN 10242</t>
        </r>
        <r>
          <rPr>
            <sz val="10"/>
            <color indexed="81"/>
            <rFont val="Arial"/>
            <family val="2"/>
          </rPr>
          <t xml:space="preserve"> para o galvanizado de acessórios roscados em ferro fundido maleável.
       Desta forma prática, utilizará tubos e acessórios cujo revestimento galvanizado é perfeitamente homogéneo e contém as adequadas especificações de Pureza, Espessura, Uniformidade e Aderência aplicáveis. </t>
        </r>
        <r>
          <rPr>
            <sz val="10"/>
            <color indexed="18"/>
            <rFont val="Arial"/>
            <family val="2"/>
          </rPr>
          <t xml:space="preserve">
</t>
        </r>
        <r>
          <rPr>
            <sz val="10"/>
            <color indexed="10"/>
            <rFont val="Arial"/>
            <family val="2"/>
          </rPr>
          <t>Esta preocupação tem origem no facto de ultimamente termos constatado situações de incorporação de acessórios em latão misturados ou colocados a montante de tubos de aço, em redes de segurança contra incêndios e grupos de bombagem, comprometendo desta forma a esperada durabilidade da instalação</t>
        </r>
        <r>
          <rPr>
            <sz val="10"/>
            <color indexed="18"/>
            <rFont val="Arial"/>
            <family val="2"/>
          </rPr>
          <t>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Utilizador</author>
    <author>Paulo Gomes</author>
  </authors>
  <commentList>
    <comment ref="B24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Através da análise da instalação, identificar o </t>
        </r>
        <r>
          <rPr>
            <b/>
            <sz val="9"/>
            <color indexed="81"/>
            <rFont val="Tahoma"/>
            <family val="2"/>
          </rPr>
          <t>nó do caminho crítico</t>
        </r>
        <r>
          <rPr>
            <sz val="9"/>
            <color indexed="81"/>
            <rFont val="Tahoma"/>
            <family val="2"/>
          </rPr>
          <t xml:space="preserve"> onde se verifica a </t>
        </r>
        <r>
          <rPr>
            <b/>
            <sz val="9"/>
            <color indexed="57"/>
            <rFont val="Tahoma"/>
            <family val="2"/>
          </rPr>
          <t>derivação para o caminho menos crítico</t>
        </r>
        <r>
          <rPr>
            <sz val="9"/>
            <color indexed="81"/>
            <rFont val="Tahoma"/>
            <family val="2"/>
          </rPr>
          <t>.</t>
        </r>
      </text>
    </comment>
    <comment ref="A39" authorId="1" shapeId="0" xr:uid="{00000000-0006-0000-0100-000002000000}">
      <text>
        <r>
          <rPr>
            <sz val="10"/>
            <color indexed="81"/>
            <rFont val="Tahoma"/>
            <family val="2"/>
          </rPr>
          <t xml:space="preserve">Para desactivar um conjunto de dados, marcar </t>
        </r>
        <r>
          <rPr>
            <b/>
            <sz val="10"/>
            <color indexed="81"/>
            <rFont val="Tahoma"/>
            <family val="2"/>
          </rPr>
          <t xml:space="preserve">X </t>
        </r>
        <r>
          <rPr>
            <sz val="10"/>
            <color indexed="81"/>
            <rFont val="Tahoma"/>
            <family val="2"/>
          </rPr>
          <t xml:space="preserve"> na cor respectiva.</t>
        </r>
      </text>
    </comment>
    <comment ref="A53" authorId="0" shapeId="0" xr:uid="{00000000-0006-0000-0100-000003000000}">
      <text>
        <r>
          <rPr>
            <sz val="9"/>
            <color indexed="81"/>
            <rFont val="Tahoma"/>
            <family val="2"/>
          </rPr>
          <t>Se relevante, identificar e detalhar os ramais a jusante do nó de derivação, até ao conjunto de sprinklers</t>
        </r>
        <r>
          <rPr>
            <b/>
            <sz val="9"/>
            <color indexed="57"/>
            <rFont val="Tahoma"/>
            <family val="2"/>
          </rPr>
          <t xml:space="preserve"> menos críticos</t>
        </r>
        <r>
          <rPr>
            <sz val="9"/>
            <color indexed="81"/>
            <rFont val="Tahoma"/>
            <family val="2"/>
          </rPr>
          <t>.</t>
        </r>
      </text>
    </comment>
    <comment ref="C56" authorId="1" shapeId="0" xr:uid="{00000000-0006-0000-0100-000004000000}">
      <text>
        <r>
          <rPr>
            <sz val="9"/>
            <color indexed="81"/>
            <rFont val="Tahoma"/>
            <family val="2"/>
          </rPr>
          <t xml:space="preserve">Introduzir o código identificativo (letra ou número) </t>
        </r>
        <r>
          <rPr>
            <b/>
            <sz val="9"/>
            <color indexed="81"/>
            <rFont val="Tahoma"/>
            <family val="2"/>
          </rPr>
          <t xml:space="preserve">do início do troço </t>
        </r>
        <r>
          <rPr>
            <sz val="9"/>
            <color indexed="81"/>
            <rFont val="Tahoma"/>
            <family val="2"/>
          </rPr>
          <t>em análise.</t>
        </r>
      </text>
    </comment>
    <comment ref="D56" authorId="1" shapeId="0" xr:uid="{00000000-0006-0000-0100-000005000000}">
      <text>
        <r>
          <rPr>
            <sz val="9"/>
            <color indexed="81"/>
            <rFont val="Tahoma"/>
            <family val="2"/>
          </rPr>
          <t xml:space="preserve">Introduzir o código identificativo (letra ou número) </t>
        </r>
        <r>
          <rPr>
            <b/>
            <sz val="9"/>
            <color indexed="81"/>
            <rFont val="Tahoma"/>
            <family val="2"/>
          </rPr>
          <t xml:space="preserve">do fim do troço </t>
        </r>
        <r>
          <rPr>
            <sz val="9"/>
            <color indexed="81"/>
            <rFont val="Tahoma"/>
            <family val="2"/>
          </rPr>
          <t>em análise.</t>
        </r>
      </text>
    </comment>
    <comment ref="E56" authorId="0" shapeId="0" xr:uid="{00000000-0006-0000-0100-000006000000}">
      <text>
        <r>
          <rPr>
            <sz val="9"/>
            <color indexed="81"/>
            <rFont val="Tahoma"/>
            <family val="2"/>
          </rPr>
          <t xml:space="preserve">Introduzir o </t>
        </r>
        <r>
          <rPr>
            <b/>
            <sz val="9"/>
            <color indexed="81"/>
            <rFont val="Tahoma"/>
            <family val="2"/>
          </rPr>
          <t xml:space="preserve">número total de </t>
        </r>
        <r>
          <rPr>
            <b/>
            <i/>
            <sz val="9"/>
            <color indexed="81"/>
            <rFont val="Tahoma"/>
            <family val="2"/>
          </rPr>
          <t>sprinklers</t>
        </r>
        <r>
          <rPr>
            <b/>
            <sz val="9"/>
            <color indexed="81"/>
            <rFont val="Tahoma"/>
            <family val="2"/>
          </rPr>
          <t xml:space="preserve"> abastecidos </t>
        </r>
        <r>
          <rPr>
            <sz val="9"/>
            <color indexed="81"/>
            <rFont val="Tahoma"/>
            <family val="2"/>
          </rPr>
          <t>pelo troço em análise.</t>
        </r>
      </text>
    </comment>
    <comment ref="F56" authorId="1" shapeId="0" xr:uid="{00000000-0006-0000-0100-000007000000}">
      <text>
        <r>
          <rPr>
            <sz val="9"/>
            <color indexed="81"/>
            <rFont val="Tahoma"/>
            <family val="2"/>
          </rPr>
          <t xml:space="preserve">Introduzir o comprimento do troço em análise (em </t>
        </r>
        <r>
          <rPr>
            <b/>
            <sz val="9"/>
            <color indexed="81"/>
            <rFont val="Tahoma"/>
            <family val="2"/>
          </rPr>
          <t>metros</t>
        </r>
        <r>
          <rPr>
            <sz val="9"/>
            <color indexed="81"/>
            <rFont val="Tahoma"/>
            <family val="2"/>
          </rPr>
          <t>).</t>
        </r>
      </text>
    </comment>
    <comment ref="G56" authorId="1" shapeId="0" xr:uid="{00000000-0006-0000-0100-000008000000}">
      <text>
        <r>
          <rPr>
            <sz val="9"/>
            <color indexed="81"/>
            <rFont val="Tahoma"/>
            <family val="2"/>
          </rPr>
          <t xml:space="preserve">Introduzir o desnível do troço (em </t>
        </r>
        <r>
          <rPr>
            <b/>
            <sz val="9"/>
            <color indexed="81"/>
            <rFont val="Tahoma"/>
            <family val="2"/>
          </rPr>
          <t>metros</t>
        </r>
        <r>
          <rPr>
            <sz val="9"/>
            <color indexed="81"/>
            <rFont val="Tahoma"/>
            <family val="2"/>
          </rPr>
          <t xml:space="preserve">).
</t>
        </r>
        <r>
          <rPr>
            <vertAlign val="superscript"/>
            <sz val="10"/>
            <color indexed="81"/>
            <rFont val="Tahoma"/>
            <family val="2"/>
          </rPr>
          <t>1)</t>
        </r>
        <r>
          <rPr>
            <sz val="8"/>
            <color indexed="81"/>
            <rFont val="Tahoma"/>
            <family val="2"/>
          </rPr>
          <t xml:space="preserve"> O valor da altura ou desnível deve ser </t>
        </r>
        <r>
          <rPr>
            <b/>
            <sz val="8"/>
            <color indexed="81"/>
            <rFont val="Tahoma"/>
            <family val="2"/>
          </rPr>
          <t xml:space="preserve">positivo (+) se o troço for ascendente </t>
        </r>
        <r>
          <rPr>
            <sz val="8"/>
            <color indexed="81"/>
            <rFont val="Tahoma"/>
            <family val="2"/>
          </rPr>
          <t xml:space="preserve">e </t>
        </r>
        <r>
          <rPr>
            <b/>
            <sz val="8"/>
            <color indexed="81"/>
            <rFont val="Tahoma"/>
            <family val="2"/>
          </rPr>
          <t>negativo (-) se o troço for descendente</t>
        </r>
        <r>
          <rPr>
            <sz val="8"/>
            <color indexed="81"/>
            <rFont val="Tahoma"/>
            <family val="2"/>
          </rPr>
          <t>.</t>
        </r>
      </text>
    </comment>
    <comment ref="H56" authorId="1" shapeId="0" xr:uid="{00000000-0006-0000-0100-000009000000}">
      <text>
        <r>
          <rPr>
            <sz val="9"/>
            <color indexed="81"/>
            <rFont val="Tahoma"/>
            <family val="2"/>
          </rPr>
          <t xml:space="preserve">Introduzir as perdas de carga locais  (em </t>
        </r>
        <r>
          <rPr>
            <b/>
            <sz val="9"/>
            <color indexed="81"/>
            <rFont val="Tahoma"/>
            <family val="2"/>
          </rPr>
          <t>metros</t>
        </r>
        <r>
          <rPr>
            <sz val="9"/>
            <color indexed="81"/>
            <rFont val="Tahoma"/>
            <family val="2"/>
          </rPr>
          <t xml:space="preserve">) referentes aos acessórios utilizados (ver </t>
        </r>
        <r>
          <rPr>
            <b/>
            <sz val="9"/>
            <color indexed="81"/>
            <rFont val="Tahoma"/>
            <family val="2"/>
          </rPr>
          <t>Quadro 2</t>
        </r>
        <r>
          <rPr>
            <sz val="9"/>
            <color indexed="81"/>
            <rFont val="Tahoma"/>
            <family val="2"/>
          </rPr>
          <t>).</t>
        </r>
      </text>
    </comment>
    <comment ref="K56" authorId="1" shapeId="0" xr:uid="{00000000-0006-0000-0100-00000A000000}">
      <text>
        <r>
          <rPr>
            <sz val="9"/>
            <color indexed="81"/>
            <rFont val="Tahoma"/>
            <family val="2"/>
          </rPr>
          <t xml:space="preserve">Impor, </t>
        </r>
        <r>
          <rPr>
            <b/>
            <sz val="9"/>
            <color indexed="81"/>
            <rFont val="Tahoma"/>
            <family val="2"/>
          </rPr>
          <t>se necessário</t>
        </r>
        <r>
          <rPr>
            <sz val="9"/>
            <color indexed="81"/>
            <rFont val="Tahoma"/>
            <family val="2"/>
          </rPr>
          <t xml:space="preserve">, o diâmetro interior mínimo do troço em análise (em </t>
        </r>
        <r>
          <rPr>
            <b/>
            <sz val="9"/>
            <color indexed="81"/>
            <rFont val="Tahoma"/>
            <family val="2"/>
          </rPr>
          <t>milímetros</t>
        </r>
        <r>
          <rPr>
            <sz val="9"/>
            <color indexed="81"/>
            <rFont val="Tahoma"/>
            <family val="2"/>
          </rPr>
          <t xml:space="preserve">).
</t>
        </r>
        <r>
          <rPr>
            <b/>
            <sz val="8"/>
            <color indexed="81"/>
            <rFont val="Tahoma"/>
            <family val="2"/>
          </rPr>
          <t>Nota</t>
        </r>
        <r>
          <rPr>
            <sz val="8"/>
            <color indexed="81"/>
            <rFont val="Tahoma"/>
            <family val="2"/>
          </rPr>
          <t xml:space="preserve">: Após a imposição do diâmetro interior mínimo, são automaticamente seleccionados os </t>
        </r>
        <r>
          <rPr>
            <b/>
            <sz val="8"/>
            <color indexed="81"/>
            <rFont val="Tahoma"/>
            <family val="2"/>
          </rPr>
          <t xml:space="preserve">diâmetros normalizados interior, exterior e comercial </t>
        </r>
        <r>
          <rPr>
            <sz val="8"/>
            <color indexed="81"/>
            <rFont val="Tahoma"/>
            <family val="2"/>
          </rPr>
          <t>correspondentes (</t>
        </r>
        <r>
          <rPr>
            <b/>
            <sz val="8"/>
            <color indexed="81"/>
            <rFont val="Tahoma"/>
            <family val="2"/>
          </rPr>
          <t xml:space="preserve">ver </t>
        </r>
        <r>
          <rPr>
            <b/>
            <sz val="9"/>
            <color indexed="81"/>
            <rFont val="Tahoma"/>
            <family val="2"/>
          </rPr>
          <t>Quadro 1</t>
        </r>
        <r>
          <rPr>
            <sz val="8"/>
            <color indexed="81"/>
            <rFont val="Tahoma"/>
            <family val="2"/>
          </rPr>
          <t xml:space="preserve">). </t>
        </r>
      </text>
    </comment>
    <comment ref="AA70" authorId="1" shapeId="0" xr:uid="{00000000-0006-0000-0100-00000B000000}">
      <text>
        <r>
          <rPr>
            <sz val="9"/>
            <color indexed="81"/>
            <rFont val="Tahoma"/>
            <family val="2"/>
          </rPr>
          <t xml:space="preserve">Introduzir o código identificativo (letra ou número) </t>
        </r>
        <r>
          <rPr>
            <b/>
            <sz val="9"/>
            <color indexed="81"/>
            <rFont val="Tahoma"/>
            <family val="2"/>
          </rPr>
          <t xml:space="preserve">do início do troço </t>
        </r>
        <r>
          <rPr>
            <sz val="9"/>
            <color indexed="81"/>
            <rFont val="Tahoma"/>
            <family val="2"/>
          </rPr>
          <t>em análise.</t>
        </r>
      </text>
    </comment>
    <comment ref="AB70" authorId="1" shapeId="0" xr:uid="{00000000-0006-0000-0100-00000C000000}">
      <text>
        <r>
          <rPr>
            <sz val="9"/>
            <color indexed="81"/>
            <rFont val="Tahoma"/>
            <family val="2"/>
          </rPr>
          <t xml:space="preserve">Introduzir o código identificativo (letra ou número) </t>
        </r>
        <r>
          <rPr>
            <b/>
            <sz val="9"/>
            <color indexed="81"/>
            <rFont val="Tahoma"/>
            <family val="2"/>
          </rPr>
          <t xml:space="preserve">do fim do troço </t>
        </r>
        <r>
          <rPr>
            <sz val="9"/>
            <color indexed="81"/>
            <rFont val="Tahoma"/>
            <family val="2"/>
          </rPr>
          <t>em análise.</t>
        </r>
      </text>
    </comment>
    <comment ref="AC71" authorId="0" shapeId="0" xr:uid="{00000000-0006-0000-0100-00000D000000}">
      <text>
        <r>
          <rPr>
            <sz val="9"/>
            <color indexed="81"/>
            <rFont val="Tahoma"/>
            <family val="2"/>
          </rPr>
          <t xml:space="preserve">Introduzir o </t>
        </r>
        <r>
          <rPr>
            <b/>
            <sz val="9"/>
            <color indexed="81"/>
            <rFont val="Tahoma"/>
            <family val="2"/>
          </rPr>
          <t xml:space="preserve">número de </t>
        </r>
        <r>
          <rPr>
            <b/>
            <i/>
            <sz val="9"/>
            <color indexed="81"/>
            <rFont val="Tahoma"/>
            <family val="2"/>
          </rPr>
          <t>sprinklers</t>
        </r>
        <r>
          <rPr>
            <b/>
            <sz val="9"/>
            <color indexed="81"/>
            <rFont val="Tahoma"/>
            <family val="2"/>
          </rPr>
          <t xml:space="preserve">  abastecidos em simultâneo</t>
        </r>
        <r>
          <rPr>
            <sz val="9"/>
            <color indexed="81"/>
            <rFont val="Tahoma"/>
            <family val="2"/>
          </rPr>
          <t xml:space="preserve"> pelo troço em análise.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Paulo Gomes</author>
  </authors>
  <commentList>
    <comment ref="H11" authorId="0" shapeId="0" xr:uid="{00000000-0006-0000-0300-000001000000}">
      <text>
        <r>
          <rPr>
            <b/>
            <sz val="10"/>
            <color indexed="81"/>
            <rFont val="Tahoma"/>
            <family val="2"/>
          </rPr>
          <t xml:space="preserve">Opcional: </t>
        </r>
        <r>
          <rPr>
            <sz val="10"/>
            <color indexed="81"/>
            <rFont val="Tahoma"/>
            <family val="2"/>
          </rPr>
          <t xml:space="preserve">Em complemento dos valores adoptados na matriz de afectação à direita, introduzir directamente as perdas de carga locais (em </t>
        </r>
        <r>
          <rPr>
            <b/>
            <sz val="10"/>
            <color indexed="81"/>
            <rFont val="Tahoma"/>
            <family val="2"/>
          </rPr>
          <t>metros</t>
        </r>
        <r>
          <rPr>
            <sz val="10"/>
            <color indexed="81"/>
            <rFont val="Tahoma"/>
            <family val="2"/>
          </rPr>
          <t>) referentes a casos específicos de acessórios utilizados</t>
        </r>
        <r>
          <rPr>
            <sz val="10"/>
            <color indexed="81"/>
            <rFont val="Tahoma"/>
            <family val="2"/>
          </rPr>
          <t>.</t>
        </r>
      </text>
    </comment>
    <comment ref="J12" authorId="0" shapeId="0" xr:uid="{00000000-0006-0000-0300-000002000000}">
      <text>
        <r>
          <rPr>
            <b/>
            <sz val="10"/>
            <color indexed="81"/>
            <rFont val="Tahoma"/>
            <family val="2"/>
          </rPr>
          <t xml:space="preserve">Opcional: </t>
        </r>
        <r>
          <rPr>
            <sz val="10"/>
            <color indexed="81"/>
            <rFont val="Tahoma"/>
            <family val="2"/>
          </rPr>
          <t xml:space="preserve">Utilizar a matriz de afectação dos acessórios utilizados em cada troço em análise, marcando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no acessório em causa (ou introduzindo o nº de acessórios em causa utilizados), sendo contabilizada a respectiva perda de carga local (em </t>
        </r>
        <r>
          <rPr>
            <b/>
            <sz val="10"/>
            <color indexed="81"/>
            <rFont val="Tahoma"/>
            <family val="2"/>
          </rPr>
          <t>metros</t>
        </r>
        <r>
          <rPr>
            <sz val="10"/>
            <color indexed="81"/>
            <rFont val="Tahoma"/>
            <family val="2"/>
          </rPr>
          <t xml:space="preserve">), através da consulta automática do </t>
        </r>
        <r>
          <rPr>
            <b/>
            <sz val="10"/>
            <color indexed="81"/>
            <rFont val="Tahoma"/>
            <family val="2"/>
          </rPr>
          <t>Quadro 2</t>
        </r>
        <r>
          <rPr>
            <sz val="10"/>
            <color indexed="81"/>
            <rFont val="Tahoma"/>
            <family val="2"/>
          </rPr>
          <t xml:space="preserve"> à direita.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Paulo Gomes</author>
  </authors>
  <commentList>
    <comment ref="E5" authorId="0" shapeId="0" xr:uid="{00000000-0006-0000-0900-000001000000}">
      <text>
        <r>
          <rPr>
            <sz val="10"/>
            <color indexed="81"/>
            <rFont val="Tahoma"/>
            <family val="2"/>
          </rPr>
          <t xml:space="preserve">Para seleccionar Procedimento de Dimensionamento </t>
        </r>
        <r>
          <rPr>
            <b/>
            <sz val="10"/>
            <color indexed="81"/>
            <rFont val="Tahoma"/>
            <family val="2"/>
          </rPr>
          <t>conforme RTSCIE</t>
        </r>
        <r>
          <rPr>
            <sz val="10"/>
            <color indexed="81"/>
            <rFont val="Tahoma"/>
            <family val="2"/>
          </rPr>
          <t xml:space="preserve">, marcar </t>
        </r>
        <r>
          <rPr>
            <b/>
            <sz val="10"/>
            <color indexed="81"/>
            <rFont val="Tahoma"/>
            <family val="2"/>
          </rPr>
          <t xml:space="preserve">X </t>
        </r>
        <r>
          <rPr>
            <sz val="10"/>
            <color indexed="81"/>
            <rFont val="Tahoma"/>
            <family val="2"/>
          </rPr>
          <t>.</t>
        </r>
      </text>
    </comment>
    <comment ref="E6" authorId="0" shapeId="0" xr:uid="{00000000-0006-0000-0900-000002000000}">
      <text>
        <r>
          <rPr>
            <sz val="10"/>
            <color indexed="81"/>
            <rFont val="Tahoma"/>
            <family val="2"/>
          </rPr>
          <t xml:space="preserve">Para seleccionar Procedimento de Dimensionamento </t>
        </r>
        <r>
          <rPr>
            <b/>
            <sz val="10"/>
            <color indexed="81"/>
            <rFont val="Tahoma"/>
            <family val="2"/>
          </rPr>
          <t>conforme NFPA 13</t>
        </r>
        <r>
          <rPr>
            <sz val="10"/>
            <color indexed="81"/>
            <rFont val="Tahoma"/>
            <family val="2"/>
          </rPr>
          <t xml:space="preserve"> ou</t>
        </r>
        <r>
          <rPr>
            <b/>
            <sz val="10"/>
            <color indexed="81"/>
            <rFont val="Tahoma"/>
            <family val="2"/>
          </rPr>
          <t xml:space="preserve"> EN 12845</t>
        </r>
        <r>
          <rPr>
            <sz val="10"/>
            <color indexed="81"/>
            <rFont val="Tahoma"/>
            <family val="2"/>
          </rPr>
          <t xml:space="preserve">, marcar </t>
        </r>
        <r>
          <rPr>
            <b/>
            <sz val="10"/>
            <color indexed="81"/>
            <rFont val="Tahoma"/>
            <family val="2"/>
          </rPr>
          <t xml:space="preserve">X </t>
        </r>
        <r>
          <rPr>
            <sz val="10"/>
            <color indexed="81"/>
            <rFont val="Tahoma"/>
            <family val="2"/>
          </rPr>
          <t>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<sst xmlns="http://schemas.openxmlformats.org/spreadsheetml/2006/main" count="1938" uniqueCount="969">
  <si>
    <t>Ref.ª</t>
  </si>
  <si>
    <t>Descrição:</t>
  </si>
  <si>
    <t>Data:</t>
  </si>
  <si>
    <t>(mm)</t>
  </si>
  <si>
    <t>Diâmetro Exterior</t>
  </si>
  <si>
    <t>Tubo Preto</t>
  </si>
  <si>
    <t>Tubo Galvanizado</t>
  </si>
  <si>
    <t>Máx.</t>
  </si>
  <si>
    <t>Min.</t>
  </si>
  <si>
    <t>Nominal</t>
  </si>
  <si>
    <t>Lisos</t>
  </si>
  <si>
    <t>DN   10</t>
  </si>
  <si>
    <t>DN   15</t>
  </si>
  <si>
    <t>DN   20</t>
  </si>
  <si>
    <t>DN   25</t>
  </si>
  <si>
    <t>DN   32</t>
  </si>
  <si>
    <t>DN   40</t>
  </si>
  <si>
    <t>DN   50</t>
  </si>
  <si>
    <t>DN   65</t>
  </si>
  <si>
    <t>DN   80</t>
  </si>
  <si>
    <t>DN 100</t>
  </si>
  <si>
    <t>DN 125</t>
  </si>
  <si>
    <t>DN 150</t>
  </si>
  <si>
    <t>Tolerâncias:</t>
  </si>
  <si>
    <t>D</t>
  </si>
  <si>
    <t>Espessura</t>
  </si>
  <si>
    <r>
      <t>D</t>
    </r>
    <r>
      <rPr>
        <sz val="10"/>
        <rFont val="Arial"/>
        <family val="2"/>
      </rPr>
      <t xml:space="preserve"> (mm)</t>
    </r>
  </si>
  <si>
    <r>
      <t>T</t>
    </r>
    <r>
      <rPr>
        <sz val="10"/>
        <rFont val="Arial"/>
        <family val="2"/>
      </rPr>
      <t xml:space="preserve"> (mm)</t>
    </r>
  </si>
  <si>
    <r>
      <t>(</t>
    </r>
    <r>
      <rPr>
        <b/>
        <sz val="10"/>
        <rFont val="Arial"/>
        <family val="2"/>
      </rPr>
      <t xml:space="preserve"> R</t>
    </r>
    <r>
      <rPr>
        <sz val="10"/>
        <rFont val="Arial"/>
        <family val="2"/>
      </rPr>
      <t xml:space="preserve"> )</t>
    </r>
  </si>
  <si>
    <r>
      <t>(</t>
    </r>
    <r>
      <rPr>
        <b/>
        <sz val="10"/>
        <rFont val="Arial"/>
        <family val="2"/>
      </rPr>
      <t>DN</t>
    </r>
    <r>
      <rPr>
        <sz val="10"/>
        <rFont val="Arial"/>
        <family val="2"/>
      </rPr>
      <t>)</t>
    </r>
  </si>
  <si>
    <t>Espessura ( T ):</t>
  </si>
  <si>
    <t>- 50 mm / + 150 mm do comprimento nominal ; por acordo poderão ser estabelecidas tolerâncias mais apertadas.</t>
  </si>
  <si>
    <t>Comprimento ( L ):</t>
  </si>
  <si>
    <t>Galvanizado:</t>
  </si>
  <si>
    <r>
      <t>por unidade de área do revestimento igual a 400 g/m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, correspondente a uma espessura média miníma de 56 micron. </t>
    </r>
  </si>
  <si>
    <t>Gama de Tubos de Aço para Canalizações soldados longitudinalmente (W)</t>
  </si>
  <si>
    <t xml:space="preserve">Rosc.c/ aces. </t>
  </si>
  <si>
    <t>Interior</t>
  </si>
  <si>
    <t>Diâm.</t>
  </si>
  <si>
    <t>mm</t>
  </si>
  <si>
    <t>m</t>
  </si>
  <si>
    <t xml:space="preserve">Massa Nominal em função das extremidades: (kg / m) </t>
  </si>
  <si>
    <t>J</t>
  </si>
  <si>
    <t>Inicial</t>
  </si>
  <si>
    <t>Final</t>
  </si>
  <si>
    <t>Caudal</t>
  </si>
  <si>
    <t>3.2</t>
  </si>
  <si>
    <t>troço</t>
  </si>
  <si>
    <t>Fin.Corr.</t>
  </si>
  <si>
    <t>avaliação</t>
  </si>
  <si>
    <t>Cálculo</t>
  </si>
  <si>
    <t>m/s</t>
  </si>
  <si>
    <t>Fim</t>
  </si>
  <si>
    <t>Início</t>
  </si>
  <si>
    <t>Tubo</t>
  </si>
  <si>
    <r>
      <t>D</t>
    </r>
    <r>
      <rPr>
        <b/>
        <vertAlign val="subscript"/>
        <sz val="12"/>
        <rFont val="Arial"/>
        <family val="2"/>
      </rPr>
      <t>i</t>
    </r>
  </si>
  <si>
    <r>
      <t>P</t>
    </r>
    <r>
      <rPr>
        <b/>
        <vertAlign val="subscript"/>
        <sz val="12"/>
        <rFont val="Arial"/>
        <family val="2"/>
      </rPr>
      <t>i</t>
    </r>
  </si>
  <si>
    <r>
      <t>P</t>
    </r>
    <r>
      <rPr>
        <b/>
        <vertAlign val="subscript"/>
        <sz val="12"/>
        <rFont val="Arial"/>
        <family val="2"/>
      </rPr>
      <t>f</t>
    </r>
  </si>
  <si>
    <r>
      <t>P</t>
    </r>
    <r>
      <rPr>
        <b/>
        <vertAlign val="subscript"/>
        <sz val="12"/>
        <rFont val="Arial"/>
        <family val="2"/>
      </rPr>
      <t>fc</t>
    </r>
  </si>
  <si>
    <t xml:space="preserve">V </t>
  </si>
  <si>
    <t>Codificação</t>
  </si>
  <si>
    <t>2.1</t>
  </si>
  <si>
    <t>3.1</t>
  </si>
  <si>
    <r>
      <t>L</t>
    </r>
    <r>
      <rPr>
        <b/>
        <vertAlign val="subscript"/>
        <sz val="10"/>
        <rFont val="Arial"/>
        <family val="2"/>
      </rPr>
      <t>crítico</t>
    </r>
  </si>
  <si>
    <r>
      <t>L</t>
    </r>
    <r>
      <rPr>
        <b/>
        <vertAlign val="subscript"/>
        <sz val="10"/>
        <rFont val="Arial"/>
        <family val="2"/>
      </rPr>
      <t>eq.máx.</t>
    </r>
  </si>
  <si>
    <t>4.1</t>
  </si>
  <si>
    <t>4.2</t>
  </si>
  <si>
    <t>6.1</t>
  </si>
  <si>
    <t>6.2</t>
  </si>
  <si>
    <t>8.1</t>
  </si>
  <si>
    <t>8.2</t>
  </si>
  <si>
    <t>9.1</t>
  </si>
  <si>
    <t>0.2</t>
  </si>
  <si>
    <t>Nó antecedente</t>
  </si>
  <si>
    <t>Troço</t>
  </si>
  <si>
    <t>Nó Final</t>
  </si>
  <si>
    <t>(m)</t>
  </si>
  <si>
    <t>Nó Inicial</t>
  </si>
  <si>
    <t>kPa</t>
  </si>
  <si>
    <t>m/m</t>
  </si>
  <si>
    <t>5.1</t>
  </si>
  <si>
    <t>unitária</t>
  </si>
  <si>
    <t>9.2</t>
  </si>
  <si>
    <t>Pressão Inicial</t>
  </si>
  <si>
    <t>Pressão do Fim para Inicío</t>
  </si>
  <si>
    <t>Mínimo</t>
  </si>
  <si>
    <t>Miníma Pressão Final</t>
  </si>
  <si>
    <t>Máximo</t>
  </si>
  <si>
    <t>Resumo da sequência de nós, do final para o inicío.</t>
  </si>
  <si>
    <t>S</t>
  </si>
  <si>
    <r>
      <t>l/min.m</t>
    </r>
    <r>
      <rPr>
        <b/>
        <vertAlign val="superscript"/>
        <sz val="10"/>
        <rFont val="Arial"/>
        <family val="2"/>
      </rPr>
      <t>2</t>
    </r>
  </si>
  <si>
    <t>nº</t>
  </si>
  <si>
    <t>Nº de sprinklers em funcionamento simultâneo por sub-ramal</t>
  </si>
  <si>
    <t>l/min</t>
  </si>
  <si>
    <t>K</t>
  </si>
  <si>
    <t>%</t>
  </si>
  <si>
    <t>Nó seguinte</t>
  </si>
  <si>
    <t>2.2</t>
  </si>
  <si>
    <t>Densidade</t>
  </si>
  <si>
    <t>Características e Especificações:</t>
  </si>
  <si>
    <t>Para cálculo do comprimento equivalente</t>
  </si>
  <si>
    <t>Classe de Risco</t>
  </si>
  <si>
    <t>Tipo de edifício</t>
  </si>
  <si>
    <t>Ligeiros</t>
  </si>
  <si>
    <t>Apartamentos, igrejas, clubes, escolas, hospitais, escritórios, museus, etc.</t>
  </si>
  <si>
    <t>Ordinários</t>
  </si>
  <si>
    <t>Garagens, padarias, casas de caldeiras, fábricas de componentes eléctricos, parques de estacionamento, lavandarias, teatros, áreas de serviços em restaurantes.</t>
  </si>
  <si>
    <t>Fábricas de: produtos químicos de baixo risco, máquinas, têxteis, cigarros, tintas.</t>
  </si>
  <si>
    <t>Fábricas de papel, refinarias, fábricas de pneus, armazéns de produtos inflamáveis, etc.</t>
  </si>
  <si>
    <t>Graves</t>
  </si>
  <si>
    <t xml:space="preserve">Áreas com combustíveis, fábricas de tintas e diluentes, vulcanizações, etc. </t>
  </si>
  <si>
    <t>Fábricas de embalagens de gás, de sprays, de poliuretanos, etc.</t>
  </si>
  <si>
    <t>SxD</t>
  </si>
  <si>
    <r>
      <t>(m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</si>
  <si>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Normal</t>
  </si>
  <si>
    <t>Legenda:</t>
  </si>
  <si>
    <r>
      <t>D</t>
    </r>
    <r>
      <rPr>
        <sz val="10"/>
        <rFont val="Arial"/>
        <family val="2"/>
      </rPr>
      <t xml:space="preserve"> – Afastamento máximo dos ramais </t>
    </r>
  </si>
  <si>
    <t>± 10 % da espessura da parede nominal.</t>
  </si>
  <si>
    <t xml:space="preserve">± 7,5 % da massa nominal correspondente para atados iguais ou superiores a 10 ton. </t>
  </si>
  <si>
    <t>N</t>
  </si>
  <si>
    <t>Decisões</t>
  </si>
  <si>
    <t>Adoptado</t>
  </si>
  <si>
    <t>Explicitação automática de todos os caminhos, incluindo o crítico:</t>
  </si>
  <si>
    <t>Total:</t>
  </si>
  <si>
    <t>Explicitação automática das alturas piezométricas de todos os caminhos, incluindo o crítico:</t>
  </si>
  <si>
    <t>1º Crtério</t>
  </si>
  <si>
    <t>2º Critério</t>
  </si>
  <si>
    <t>Comprim. + Cota Piez.</t>
  </si>
  <si>
    <t>Comprimento máximo</t>
  </si>
  <si>
    <t>Determinação do Caminho Crítico</t>
  </si>
  <si>
    <t>Cota piezométrica máxima</t>
  </si>
  <si>
    <t>DN</t>
  </si>
  <si>
    <t>Gama de</t>
  </si>
  <si>
    <r>
      <t>D</t>
    </r>
    <r>
      <rPr>
        <vertAlign val="subscript"/>
        <sz val="10"/>
        <rFont val="Arial"/>
        <family val="2"/>
      </rPr>
      <t>interior</t>
    </r>
  </si>
  <si>
    <t>escolhido</t>
  </si>
  <si>
    <r>
      <t>D</t>
    </r>
    <r>
      <rPr>
        <b/>
        <vertAlign val="subscript"/>
        <sz val="12"/>
        <rFont val="Arial"/>
        <family val="2"/>
      </rPr>
      <t>i</t>
    </r>
    <r>
      <rPr>
        <b/>
        <sz val="10"/>
        <rFont val="Arial"/>
        <family val="2"/>
      </rPr>
      <t xml:space="preserve"> </t>
    </r>
    <r>
      <rPr>
        <b/>
        <vertAlign val="subscript"/>
        <sz val="10"/>
        <rFont val="Arial"/>
        <family val="2"/>
      </rPr>
      <t>imposto</t>
    </r>
  </si>
  <si>
    <r>
      <t>D</t>
    </r>
    <r>
      <rPr>
        <b/>
        <vertAlign val="subscript"/>
        <sz val="12"/>
        <rFont val="Arial"/>
        <family val="2"/>
      </rPr>
      <t>i</t>
    </r>
    <r>
      <rPr>
        <b/>
        <sz val="10"/>
        <rFont val="Arial"/>
        <family val="2"/>
      </rPr>
      <t xml:space="preserve"> </t>
    </r>
    <r>
      <rPr>
        <b/>
        <vertAlign val="subscript"/>
        <sz val="10"/>
        <rFont val="Arial"/>
        <family val="2"/>
      </rPr>
      <t>cálculo</t>
    </r>
  </si>
  <si>
    <r>
      <t>h</t>
    </r>
    <r>
      <rPr>
        <b/>
        <vertAlign val="superscript"/>
        <sz val="10"/>
        <rFont val="Arial"/>
        <family val="2"/>
      </rPr>
      <t>1)</t>
    </r>
  </si>
  <si>
    <t>1.1</t>
  </si>
  <si>
    <t>1.3</t>
  </si>
  <si>
    <t>1.5</t>
  </si>
  <si>
    <t>0.1</t>
  </si>
  <si>
    <r>
      <t>L</t>
    </r>
    <r>
      <rPr>
        <b/>
        <vertAlign val="subscript"/>
        <sz val="10"/>
        <rFont val="Arial"/>
        <family val="2"/>
      </rPr>
      <t>eq</t>
    </r>
  </si>
  <si>
    <r>
      <t>J</t>
    </r>
    <r>
      <rPr>
        <b/>
        <vertAlign val="subscript"/>
        <sz val="10"/>
        <rFont val="Arial"/>
        <family val="2"/>
      </rPr>
      <t xml:space="preserve">crítica média </t>
    </r>
  </si>
  <si>
    <t>Quadro 3:</t>
  </si>
  <si>
    <t>Quadro 4:</t>
  </si>
  <si>
    <t>Quadro 1:</t>
  </si>
  <si>
    <t>Figura</t>
  </si>
  <si>
    <t>Designação</t>
  </si>
  <si>
    <t>DN 8</t>
  </si>
  <si>
    <t>DN 10</t>
  </si>
  <si>
    <t>DN 15</t>
  </si>
  <si>
    <t>DN 20</t>
  </si>
  <si>
    <t>DN 25</t>
  </si>
  <si>
    <t>DN 32</t>
  </si>
  <si>
    <t>DN 40</t>
  </si>
  <si>
    <t>DN 50</t>
  </si>
  <si>
    <t>DN 65</t>
  </si>
  <si>
    <t>DN 80</t>
  </si>
  <si>
    <t>Curva m/f 90</t>
  </si>
  <si>
    <t>1a</t>
  </si>
  <si>
    <t>Curva m/f curta 90</t>
  </si>
  <si>
    <t>Curva fêmea 90</t>
  </si>
  <si>
    <t>2a</t>
  </si>
  <si>
    <t>Curva fêmea curta 90</t>
  </si>
  <si>
    <t>Curva macho 90</t>
  </si>
  <si>
    <t>Curva m/f 45</t>
  </si>
  <si>
    <t>Curva  fêmea 45</t>
  </si>
  <si>
    <t>União de cruzamento</t>
  </si>
  <si>
    <t>Joelho simples 90</t>
  </si>
  <si>
    <t>90R</t>
  </si>
  <si>
    <t>Joelhos de redução 90</t>
  </si>
  <si>
    <t>Joelho m/f simples 90</t>
  </si>
  <si>
    <t>92R</t>
  </si>
  <si>
    <t>Joelhos m/f de redução 90</t>
  </si>
  <si>
    <t>Joelho c/ junção, s/d, fêmea</t>
  </si>
  <si>
    <t>Joelho c/ junção, s/c, fêmea</t>
  </si>
  <si>
    <t>Joelho c/ junção, s/d, m/f</t>
  </si>
  <si>
    <t>Joelho c/ junção, s/c, m/f</t>
  </si>
  <si>
    <t>Joelho simples 45</t>
  </si>
  <si>
    <t>Joelho m/f 45</t>
  </si>
  <si>
    <t>Tê simples 90</t>
  </si>
  <si>
    <t>130R</t>
  </si>
  <si>
    <t>Tê de redução</t>
  </si>
  <si>
    <t>Tê 90 c/ ramal curvo</t>
  </si>
  <si>
    <t>Cruzeta</t>
  </si>
  <si>
    <t>Joelho de 3 vias</t>
  </si>
  <si>
    <t>Casquilhos de redução</t>
  </si>
  <si>
    <t>Casquilhos duplos de redução</t>
  </si>
  <si>
    <t>Uniões m/f de redução</t>
  </si>
  <si>
    <t>União simples</t>
  </si>
  <si>
    <t>União c/ rosca dir./esq.</t>
  </si>
  <si>
    <t>Casquilho duplo</t>
  </si>
  <si>
    <t>Casquilho duplo c/ rosca dir./esq.</t>
  </si>
  <si>
    <t>Junção sede cónica, m/f</t>
  </si>
  <si>
    <t>União Alongamento</t>
  </si>
  <si>
    <t>529a</t>
  </si>
  <si>
    <t>União m/f simples</t>
  </si>
  <si>
    <t>Quadro 5:</t>
  </si>
  <si>
    <t>Quadro 2:</t>
  </si>
  <si>
    <r>
      <t>Comprimentos Equivalentes ( L</t>
    </r>
    <r>
      <rPr>
        <b/>
        <vertAlign val="subscript"/>
        <sz val="11"/>
        <rFont val="Arial"/>
        <family val="2"/>
      </rPr>
      <t>eq</t>
    </r>
    <r>
      <rPr>
        <b/>
        <sz val="11"/>
        <rFont val="Arial"/>
        <family val="2"/>
      </rPr>
      <t xml:space="preserve"> ) - metros</t>
    </r>
  </si>
  <si>
    <t>Comprimentos Equivalentes (em "metros") - Acessórios Roscados em ferro fundido maleável, conformes EN 10242.</t>
  </si>
  <si>
    <t>Dimensão do Acessório Roscado em ferro fundido maleável conforme EN 10242</t>
  </si>
  <si>
    <t>Dimensão Nominal</t>
  </si>
  <si>
    <t>ΔP</t>
  </si>
  <si>
    <t>Factor de</t>
  </si>
  <si>
    <t>Verificação da existência de 1 único ponto inicial</t>
  </si>
  <si>
    <t>Localização automática do NÓ inicial, para atribuição da Pressão Inicial e segurança de repetição do ponto INICIAL</t>
  </si>
  <si>
    <r>
      <t xml:space="preserve"> m</t>
    </r>
    <r>
      <rPr>
        <b/>
        <vertAlign val="superscript"/>
        <sz val="10"/>
        <rFont val="Arial"/>
        <family val="2"/>
      </rPr>
      <t>2</t>
    </r>
  </si>
  <si>
    <t>Caudais</t>
  </si>
  <si>
    <t>Grupo 1</t>
  </si>
  <si>
    <t>Grupo 2</t>
  </si>
  <si>
    <t>Grupo 3</t>
  </si>
  <si>
    <r>
      <t>ΔP</t>
    </r>
    <r>
      <rPr>
        <b/>
        <vertAlign val="subscript"/>
        <sz val="9"/>
        <rFont val="Arial"/>
        <family val="2"/>
      </rPr>
      <t>Acum.R.P.</t>
    </r>
  </si>
  <si>
    <t>Série Média</t>
  </si>
  <si>
    <t>Outra Classe de Risco</t>
  </si>
  <si>
    <t>Código</t>
  </si>
  <si>
    <t>Tipo de disposição</t>
  </si>
  <si>
    <t>Normal (opcional)</t>
  </si>
  <si>
    <r>
      <t>Área máxima a proteger por sprinkler (A</t>
    </r>
    <r>
      <rPr>
        <b/>
        <vertAlign val="subscript"/>
        <sz val="10"/>
        <rFont val="Arial"/>
        <family val="2"/>
      </rPr>
      <t>s</t>
    </r>
    <r>
      <rPr>
        <b/>
        <sz val="10"/>
        <rFont val="Arial"/>
        <family val="2"/>
      </rPr>
      <t>)</t>
    </r>
  </si>
  <si>
    <t>Intercalado (opcional)</t>
  </si>
  <si>
    <r>
      <t>S</t>
    </r>
    <r>
      <rPr>
        <sz val="10"/>
        <rFont val="Arial"/>
        <family val="2"/>
      </rPr>
      <t xml:space="preserve"> – Espaçamento máximo entre sprinklers</t>
    </r>
  </si>
  <si>
    <r>
      <t>Área de operação (A</t>
    </r>
    <r>
      <rPr>
        <b/>
        <vertAlign val="subscript"/>
        <sz val="10"/>
        <rFont val="Arial"/>
        <family val="2"/>
      </rPr>
      <t>o</t>
    </r>
    <r>
      <rPr>
        <b/>
        <sz val="10"/>
        <rFont val="Arial"/>
        <family val="2"/>
      </rPr>
      <t>)</t>
    </r>
  </si>
  <si>
    <t>Área máxima de cobertura por sprinkler, valores de S e D e área de operação em função da classe de risco</t>
  </si>
  <si>
    <t>Valores de S e D</t>
  </si>
  <si>
    <t>Dimensões e características dos sprinklers em função da classe de risco</t>
  </si>
  <si>
    <t>Ordinários /</t>
  </si>
  <si>
    <t>Dimensão</t>
  </si>
  <si>
    <t>(DN)</t>
  </si>
  <si>
    <t>escoamento</t>
  </si>
  <si>
    <t>(K)</t>
  </si>
  <si>
    <r>
      <t xml:space="preserve">57 </t>
    </r>
    <r>
      <rPr>
        <sz val="11"/>
        <rFont val="Arial"/>
        <family val="2"/>
      </rPr>
      <t>±</t>
    </r>
    <r>
      <rPr>
        <sz val="11"/>
        <rFont val="Arial"/>
        <family val="2"/>
      </rPr>
      <t xml:space="preserve"> 5%</t>
    </r>
  </si>
  <si>
    <t>80 ± 5%</t>
  </si>
  <si>
    <t>115 ± 5%</t>
  </si>
  <si>
    <t>da rosca</t>
  </si>
  <si>
    <t>(R)</t>
  </si>
  <si>
    <t>Número máximo de sprinklers alimentados em função da classe de risco e da dimensão nominal da tubagem de aço</t>
  </si>
  <si>
    <t>Nº máx. de sprinklers</t>
  </si>
  <si>
    <t>alimentados</t>
  </si>
  <si>
    <t>(NS)</t>
  </si>
  <si>
    <r>
      <t>Nota:</t>
    </r>
    <r>
      <rPr>
        <sz val="10"/>
        <rFont val="Arial"/>
        <family val="2"/>
      </rPr>
      <t xml:space="preserve"> Critério em conformidade com a norma NFPA 13.</t>
    </r>
  </si>
  <si>
    <r>
      <t>Nota:</t>
    </r>
    <r>
      <rPr>
        <sz val="10"/>
        <rFont val="Arial"/>
        <family val="2"/>
      </rPr>
      <t xml:space="preserve"> Critério em conformidade com as Regras Técnicas do I.S.P..</t>
    </r>
  </si>
  <si>
    <r>
      <t>h</t>
    </r>
    <r>
      <rPr>
        <sz val="10"/>
        <rFont val="Arial"/>
        <family val="2"/>
      </rPr>
      <t xml:space="preserve"> - pressão equivalente à diferença de altura entre a válvula de controlo e o sprinkler colocado na posição mais desfavorável.</t>
    </r>
  </si>
  <si>
    <t>Obtidos através de cálculo hidráulico</t>
  </si>
  <si>
    <t>Pressão mín.</t>
  </si>
  <si>
    <t>(kPa)</t>
  </si>
  <si>
    <t>Duração mín.</t>
  </si>
  <si>
    <t>(min.)</t>
  </si>
  <si>
    <t>(l/min.)</t>
  </si>
  <si>
    <t>220 + h</t>
  </si>
  <si>
    <t>140 + h</t>
  </si>
  <si>
    <t>100 + h</t>
  </si>
  <si>
    <t>70 + h</t>
  </si>
  <si>
    <t>170 + h</t>
  </si>
  <si>
    <t>Quadro 6:</t>
  </si>
  <si>
    <t>Requisitos de caudal e pressão dinâmica para a fonte de alimentação</t>
  </si>
  <si>
    <t>Área de operação</t>
  </si>
  <si>
    <t>L</t>
  </si>
  <si>
    <t>OG1</t>
  </si>
  <si>
    <t>OG2</t>
  </si>
  <si>
    <t>OG3</t>
  </si>
  <si>
    <t>Estimativa</t>
  </si>
  <si>
    <t>Utilização das curvas:</t>
  </si>
  <si>
    <t>GG1</t>
  </si>
  <si>
    <t>GG2</t>
  </si>
  <si>
    <t>Ligeiro</t>
  </si>
  <si>
    <t>Grave G1</t>
  </si>
  <si>
    <t>Grave G2</t>
  </si>
  <si>
    <t>Ordinário G1</t>
  </si>
  <si>
    <t>Ordinário G2</t>
  </si>
  <si>
    <t>Ordinário G3</t>
  </si>
  <si>
    <t>Ordin.</t>
  </si>
  <si>
    <t>Lig.</t>
  </si>
  <si>
    <t>Quadro 5</t>
  </si>
  <si>
    <t>Acum.</t>
  </si>
  <si>
    <t>Ident. de trajectos com Caudal a incluir</t>
  </si>
  <si>
    <t>Nó</t>
  </si>
  <si>
    <t>Inclusão da bifurcação nos Caudais de cálculo</t>
  </si>
  <si>
    <r>
      <t>Q</t>
    </r>
    <r>
      <rPr>
        <b/>
        <vertAlign val="subscript"/>
        <sz val="10"/>
        <rFont val="Arial"/>
        <family val="2"/>
      </rPr>
      <t>s</t>
    </r>
  </si>
  <si>
    <r>
      <t>Q</t>
    </r>
    <r>
      <rPr>
        <b/>
        <vertAlign val="subscript"/>
        <sz val="10"/>
        <rFont val="Arial"/>
        <family val="2"/>
      </rPr>
      <t>acum.</t>
    </r>
  </si>
  <si>
    <t>Nº de Sprinklers</t>
  </si>
  <si>
    <r>
      <t xml:space="preserve"> m</t>
    </r>
    <r>
      <rPr>
        <vertAlign val="superscript"/>
        <sz val="10"/>
        <rFont val="Arial"/>
        <family val="2"/>
      </rPr>
      <t>2</t>
    </r>
  </si>
  <si>
    <r>
      <t>ΔP</t>
    </r>
    <r>
      <rPr>
        <b/>
        <vertAlign val="subscript"/>
        <sz val="9"/>
        <rFont val="Arial"/>
        <family val="2"/>
      </rPr>
      <t>Acum.Total</t>
    </r>
  </si>
  <si>
    <t>Avaliação das perdas de carga dinâmicas acumuladas</t>
  </si>
  <si>
    <t xml:space="preserve"> Especificações calculadas</t>
  </si>
  <si>
    <t xml:space="preserve"> Observações</t>
  </si>
  <si>
    <r>
      <t xml:space="preserve"> Dimensionamento de Sistema de Extinção Automática</t>
    </r>
    <r>
      <rPr>
        <sz val="13"/>
        <color indexed="9"/>
        <rFont val="Arial"/>
        <family val="2"/>
      </rPr>
      <t xml:space="preserve"> (Rede de Sprinklers Tipo Húmida)</t>
    </r>
  </si>
  <si>
    <t>Quadro 2</t>
  </si>
  <si>
    <t>Quadros 1 e 5</t>
  </si>
  <si>
    <t>1.8</t>
  </si>
  <si>
    <t>1.10</t>
  </si>
  <si>
    <t>1.12</t>
  </si>
  <si>
    <t>1.13</t>
  </si>
  <si>
    <t>1.14</t>
  </si>
  <si>
    <r>
      <t>J</t>
    </r>
    <r>
      <rPr>
        <vertAlign val="subscript"/>
        <sz val="10"/>
        <rFont val="Arial"/>
        <family val="2"/>
      </rPr>
      <t>%</t>
    </r>
  </si>
  <si>
    <t>4.3</t>
  </si>
  <si>
    <t>5.2</t>
  </si>
  <si>
    <t>7.1</t>
  </si>
  <si>
    <t>7.2</t>
  </si>
  <si>
    <t>3.4</t>
  </si>
  <si>
    <t>5.0</t>
  </si>
  <si>
    <t>5.5</t>
  </si>
  <si>
    <t>7.3</t>
  </si>
  <si>
    <t>Folha de Cálculo de distribuição gratuíta. Para efeitos legais, declinamos qualquer responsabilidade sobre os resultados obtidos.</t>
  </si>
  <si>
    <r>
      <t>L</t>
    </r>
    <r>
      <rPr>
        <b/>
        <vertAlign val="subscript"/>
        <sz val="10"/>
        <rFont val="Arial"/>
        <family val="2"/>
      </rPr>
      <t>Total</t>
    </r>
  </si>
  <si>
    <t>Ordenação Automática</t>
  </si>
  <si>
    <t>R</t>
  </si>
  <si>
    <t>Freq.</t>
  </si>
  <si>
    <t>Adoptada</t>
  </si>
  <si>
    <t>Bifurcações</t>
  </si>
  <si>
    <t>DN 200</t>
  </si>
  <si>
    <t>DN 250</t>
  </si>
  <si>
    <t>DN 300</t>
  </si>
  <si>
    <t>1/2 a 2 1/2</t>
  </si>
  <si>
    <t>3 a 12"</t>
  </si>
  <si>
    <t>-</t>
  </si>
  <si>
    <t>métrico</t>
  </si>
  <si>
    <t>UT ou Classe de Risco</t>
  </si>
  <si>
    <t>Ligeiros (NFPA 13)</t>
  </si>
  <si>
    <t>Ordinários - Grupo 1 (NFPA 13)</t>
  </si>
  <si>
    <t>Ordinários - Grupo 2 (NFPA 13)</t>
  </si>
  <si>
    <t>Ordinários - Grupo 3 (NFPA 13)</t>
  </si>
  <si>
    <t>Graves - Grupo 1 (NFPA 13)</t>
  </si>
  <si>
    <t>Graves - Grupo 2 (NFPA 13)</t>
  </si>
  <si>
    <t>Densidade de descarga</t>
  </si>
  <si>
    <t>NFPA 13</t>
  </si>
  <si>
    <t>RGSCIE</t>
  </si>
  <si>
    <t>II</t>
  </si>
  <si>
    <t>III, VI, VII e VIII</t>
  </si>
  <si>
    <t>XII</t>
  </si>
  <si>
    <t>≤ V ≤</t>
  </si>
  <si>
    <r>
      <t>NS</t>
    </r>
    <r>
      <rPr>
        <vertAlign val="subscript"/>
        <sz val="10"/>
        <rFont val="Arial"/>
        <family val="2"/>
      </rPr>
      <t>sim.troço</t>
    </r>
  </si>
  <si>
    <r>
      <t>h</t>
    </r>
    <r>
      <rPr>
        <vertAlign val="superscript"/>
        <sz val="10"/>
        <rFont val="Arial"/>
        <family val="2"/>
      </rPr>
      <t>1)</t>
    </r>
  </si>
  <si>
    <r>
      <t>D</t>
    </r>
    <r>
      <rPr>
        <vertAlign val="subscript"/>
        <sz val="12"/>
        <rFont val="Arial"/>
        <family val="2"/>
      </rPr>
      <t>i</t>
    </r>
    <r>
      <rPr>
        <sz val="10"/>
        <rFont val="Arial"/>
        <family val="2"/>
      </rPr>
      <t xml:space="preserve"> </t>
    </r>
    <r>
      <rPr>
        <vertAlign val="subscript"/>
        <sz val="10"/>
        <rFont val="Arial"/>
        <family val="2"/>
      </rPr>
      <t>cálculo</t>
    </r>
  </si>
  <si>
    <r>
      <t>D</t>
    </r>
    <r>
      <rPr>
        <vertAlign val="subscript"/>
        <sz val="12"/>
        <rFont val="Arial"/>
        <family val="2"/>
      </rPr>
      <t>i</t>
    </r>
    <r>
      <rPr>
        <vertAlign val="subscript"/>
        <sz val="10"/>
        <rFont val="Arial"/>
        <family val="2"/>
      </rPr>
      <t xml:space="preserve"> imposto</t>
    </r>
  </si>
  <si>
    <r>
      <t>D</t>
    </r>
    <r>
      <rPr>
        <vertAlign val="subscript"/>
        <sz val="12"/>
        <rFont val="Arial"/>
        <family val="2"/>
      </rPr>
      <t>i</t>
    </r>
  </si>
  <si>
    <r>
      <t>P</t>
    </r>
    <r>
      <rPr>
        <vertAlign val="subscript"/>
        <sz val="12"/>
        <rFont val="Arial"/>
        <family val="2"/>
      </rPr>
      <t>i</t>
    </r>
  </si>
  <si>
    <r>
      <t>P</t>
    </r>
    <r>
      <rPr>
        <vertAlign val="subscript"/>
        <sz val="12"/>
        <rFont val="Arial"/>
        <family val="2"/>
      </rPr>
      <t>f</t>
    </r>
  </si>
  <si>
    <t>Veloc.</t>
  </si>
  <si>
    <t>Classe</t>
  </si>
  <si>
    <t>Seleccionar o procedimento pretendido:</t>
  </si>
  <si>
    <t>Fases</t>
  </si>
  <si>
    <t>Descrição da fase</t>
  </si>
  <si>
    <t>N.º</t>
  </si>
  <si>
    <t>Característica</t>
  </si>
  <si>
    <t>Simbologia</t>
  </si>
  <si>
    <t>Unidades</t>
  </si>
  <si>
    <t>Valor / Fórmula / Observações</t>
  </si>
  <si>
    <t>Organizar Desenho da Instalação:</t>
  </si>
  <si>
    <t>N.º de troços de uma instalação</t>
  </si>
  <si>
    <t>- Dois nós.</t>
  </si>
  <si>
    <t>1.4</t>
  </si>
  <si>
    <t>1.7</t>
  </si>
  <si>
    <t>% de afectação das perdas carga localizadas</t>
  </si>
  <si>
    <r>
      <t xml:space="preserve">Por defeito, é efectuado um acréscimo de </t>
    </r>
    <r>
      <rPr>
        <b/>
        <sz val="9"/>
        <rFont val="Arial"/>
        <family val="2"/>
      </rPr>
      <t>25 %</t>
    </r>
    <r>
      <rPr>
        <sz val="9"/>
        <rFont val="Arial"/>
        <family val="2"/>
      </rPr>
      <t xml:space="preserve"> ao comprimento dos troços analisados, para compensação das perdas de carga localizadas (ou </t>
    </r>
    <r>
      <rPr>
        <b/>
        <sz val="9"/>
        <rFont val="Arial"/>
        <family val="2"/>
      </rPr>
      <t>Quadro 2</t>
    </r>
    <r>
      <rPr>
        <sz val="9"/>
        <rFont val="Arial"/>
        <family val="2"/>
      </rPr>
      <t>).</t>
    </r>
  </si>
  <si>
    <t>Cálculo da perda de carga</t>
  </si>
  <si>
    <t>Cálculo das perdas de carga pelas fórmulas de Flamant ou Hazen &amp; Williams.</t>
  </si>
  <si>
    <t>1.9</t>
  </si>
  <si>
    <t>Constante de Rugosidade</t>
  </si>
  <si>
    <t>C ou b</t>
  </si>
  <si>
    <r>
      <t xml:space="preserve">Por defeito, no cálculo das perdas de carga, adopta-se </t>
    </r>
    <r>
      <rPr>
        <b/>
        <sz val="9"/>
        <rFont val="Arial"/>
        <family val="2"/>
      </rPr>
      <t>C = 120</t>
    </r>
    <r>
      <rPr>
        <sz val="9"/>
        <rFont val="Arial"/>
        <family val="2"/>
      </rPr>
      <t xml:space="preserve"> se usada a Fórmula de Hazen &amp; Williams, ou </t>
    </r>
    <r>
      <rPr>
        <b/>
        <sz val="9"/>
        <rFont val="Arial"/>
        <family val="2"/>
      </rPr>
      <t>b = 0,00023</t>
    </r>
    <r>
      <rPr>
        <sz val="9"/>
        <rFont val="Arial"/>
        <family val="2"/>
      </rPr>
      <t xml:space="preserve"> se usada a Fórmula de Flamant.</t>
    </r>
  </si>
  <si>
    <t>Velocidade admissível</t>
  </si>
  <si>
    <r>
      <t>V</t>
    </r>
    <r>
      <rPr>
        <vertAlign val="subscript"/>
        <sz val="12"/>
        <rFont val="Arial"/>
        <family val="2"/>
      </rPr>
      <t>adm.</t>
    </r>
  </si>
  <si>
    <r>
      <t xml:space="preserve">Consultar </t>
    </r>
    <r>
      <rPr>
        <b/>
        <sz val="9"/>
        <rFont val="Arial"/>
        <family val="2"/>
      </rPr>
      <t>desenho da instalação</t>
    </r>
    <r>
      <rPr>
        <sz val="9"/>
        <rFont val="Arial"/>
        <family val="2"/>
      </rPr>
      <t xml:space="preserve"> com os troços devidamente codificados.</t>
    </r>
  </si>
  <si>
    <t>Determinar para cada troço o correspondente Caudal Acumulado.</t>
  </si>
  <si>
    <t>2.3</t>
  </si>
  <si>
    <t>Caudal Acumulado</t>
  </si>
  <si>
    <r>
      <t>Q</t>
    </r>
    <r>
      <rPr>
        <vertAlign val="subscript"/>
        <sz val="10"/>
        <rFont val="Arial"/>
        <family val="2"/>
      </rPr>
      <t>acumul.</t>
    </r>
    <r>
      <rPr>
        <sz val="11"/>
        <rFont val="Arial"/>
        <family val="2"/>
      </rPr>
      <t/>
    </r>
  </si>
  <si>
    <t>Caudal total em cada troço, correspondente ao número total de Bocas de Incêndio abastecidas.</t>
  </si>
  <si>
    <t>Determinar para cada troço o correspondente Factor de Simultaneidade.</t>
  </si>
  <si>
    <t>2.4</t>
  </si>
  <si>
    <t>Factor de Simultaneidade</t>
  </si>
  <si>
    <t xml:space="preserve">FS </t>
  </si>
  <si>
    <t>Caudal Máximo em cada troço (correspondente à afectação do coeficiente de simultaneidade).</t>
  </si>
  <si>
    <r>
      <t>Q</t>
    </r>
    <r>
      <rPr>
        <vertAlign val="subscript"/>
        <sz val="12"/>
        <rFont val="Arial"/>
        <family val="2"/>
      </rPr>
      <t>troço</t>
    </r>
    <r>
      <rPr>
        <sz val="11"/>
        <rFont val="Arial"/>
        <family val="2"/>
      </rPr>
      <t/>
    </r>
  </si>
  <si>
    <t>Comprimento do troço</t>
  </si>
  <si>
    <r>
      <t>L</t>
    </r>
    <r>
      <rPr>
        <vertAlign val="subscript"/>
        <sz val="12"/>
        <rFont val="Arial"/>
        <family val="2"/>
      </rPr>
      <t>real</t>
    </r>
  </si>
  <si>
    <t>Desnível do troço</t>
  </si>
  <si>
    <t>h</t>
  </si>
  <si>
    <r>
      <t>O desnível "</t>
    </r>
    <r>
      <rPr>
        <b/>
        <sz val="9"/>
        <rFont val="Arial"/>
        <family val="2"/>
      </rPr>
      <t>h</t>
    </r>
    <r>
      <rPr>
        <sz val="9"/>
        <rFont val="Arial"/>
        <family val="2"/>
      </rPr>
      <t xml:space="preserve">" </t>
    </r>
    <r>
      <rPr>
        <sz val="9"/>
        <rFont val="Arial"/>
        <family val="2"/>
      </rPr>
      <t>deverá</t>
    </r>
    <r>
      <rPr>
        <b/>
        <sz val="9"/>
        <rFont val="Arial"/>
        <family val="2"/>
      </rPr>
      <t xml:space="preserve"> ser considerado positivo se o troço for ascendente e negativo se o troço for descendente.</t>
    </r>
  </si>
  <si>
    <t>3.3</t>
  </si>
  <si>
    <t>Comprimento equivalente local</t>
  </si>
  <si>
    <r>
      <t>L</t>
    </r>
    <r>
      <rPr>
        <vertAlign val="subscript"/>
        <sz val="12"/>
        <rFont val="Arial"/>
        <family val="2"/>
      </rPr>
      <t>eq.local</t>
    </r>
  </si>
  <si>
    <r>
      <t>Por defeito</t>
    </r>
    <r>
      <rPr>
        <sz val="9"/>
        <rFont val="Arial"/>
        <family val="2"/>
      </rPr>
      <t>, é efectuado um acréscimo de</t>
    </r>
    <r>
      <rPr>
        <b/>
        <sz val="9"/>
        <rFont val="Arial"/>
        <family val="2"/>
      </rPr>
      <t xml:space="preserve"> 25 % </t>
    </r>
    <r>
      <rPr>
        <sz val="9"/>
        <rFont val="Arial"/>
        <family val="2"/>
      </rPr>
      <t>ao comprimento dos troços analisados, para compensação das perdas de carga localizadas.</t>
    </r>
  </si>
  <si>
    <t>Determinar o comprimento equivalente de cada troço:</t>
  </si>
  <si>
    <t>Comprimento equivalente do troço</t>
  </si>
  <si>
    <r>
      <t>L</t>
    </r>
    <r>
      <rPr>
        <vertAlign val="subscript"/>
        <sz val="12"/>
        <rFont val="Arial"/>
        <family val="2"/>
      </rPr>
      <t>eq</t>
    </r>
  </si>
  <si>
    <t>Definir o Caminho Crítico (percurso que corresponde ao maior comprimento de tubagem e maior cota piezométrica);</t>
  </si>
  <si>
    <t>3.5</t>
  </si>
  <si>
    <t>Comprimento do Caminho Crítico</t>
  </si>
  <si>
    <r>
      <t>L</t>
    </r>
    <r>
      <rPr>
        <vertAlign val="subscript"/>
        <sz val="12"/>
        <rFont val="Arial"/>
        <family val="2"/>
      </rPr>
      <t>crítico</t>
    </r>
  </si>
  <si>
    <t>Soma dos comprimentos dos diversos troços de tubagem que constituem o caminho crítico.</t>
  </si>
  <si>
    <t>Determinar o Comprimento Equivalente Máximo de toda a instalação de Média Pressão:</t>
  </si>
  <si>
    <t>3.6</t>
  </si>
  <si>
    <t>Comprimento Equivalente do Caminho Crítico</t>
  </si>
  <si>
    <r>
      <t>L</t>
    </r>
    <r>
      <rPr>
        <vertAlign val="subscript"/>
        <sz val="12"/>
        <rFont val="Arial"/>
        <family val="2"/>
      </rPr>
      <t>eq.máx.</t>
    </r>
  </si>
  <si>
    <t>Determinar a Perda de Carga Linear Média, a ser utilizada em qualquer troço da tubagem, na determinação do diâmetro interior de cálculo:</t>
  </si>
  <si>
    <t>3.7</t>
  </si>
  <si>
    <t>Perda de Carga Linear Média</t>
  </si>
  <si>
    <r>
      <t>J</t>
    </r>
    <r>
      <rPr>
        <vertAlign val="subscript"/>
        <sz val="12"/>
        <rFont val="Arial"/>
        <family val="2"/>
      </rPr>
      <t>média</t>
    </r>
    <r>
      <rPr>
        <vertAlign val="subscript"/>
        <sz val="10"/>
        <rFont val="Arial"/>
        <family val="2"/>
      </rPr>
      <t xml:space="preserve"> </t>
    </r>
  </si>
  <si>
    <t>Determinar, para cada troço, o Diâmetro interior de Cálculo:</t>
  </si>
  <si>
    <t>3.8</t>
  </si>
  <si>
    <t>Diâmetro interior de Cálculo</t>
  </si>
  <si>
    <r>
      <t xml:space="preserve">Consultar </t>
    </r>
    <r>
      <rPr>
        <b/>
        <sz val="9"/>
        <rFont val="Arial"/>
        <family val="2"/>
      </rPr>
      <t>Quadro 1</t>
    </r>
    <r>
      <rPr>
        <sz val="9"/>
        <rFont val="Arial"/>
        <family val="2"/>
      </rPr>
      <t>.</t>
    </r>
  </si>
  <si>
    <t>Diâmetro interior imposto</t>
  </si>
  <si>
    <t>5.3</t>
  </si>
  <si>
    <r>
      <t xml:space="preserve">Calcular a perda de carga unitária ( </t>
    </r>
    <r>
      <rPr>
        <b/>
        <sz val="9"/>
        <rFont val="Arial"/>
        <family val="2"/>
      </rPr>
      <t xml:space="preserve">J </t>
    </r>
    <r>
      <rPr>
        <sz val="9"/>
        <rFont val="Arial"/>
        <family val="2"/>
      </rPr>
      <t>) de cada troço:</t>
    </r>
  </si>
  <si>
    <t>Perda de carga unitária</t>
  </si>
  <si>
    <t>Perda de carga dinâmica no troço</t>
  </si>
  <si>
    <t>Perda de carga total no troço</t>
  </si>
  <si>
    <r>
      <t>ΔP</t>
    </r>
    <r>
      <rPr>
        <vertAlign val="subscript"/>
        <sz val="12"/>
        <rFont val="Arial"/>
        <family val="2"/>
      </rPr>
      <t>c</t>
    </r>
  </si>
  <si>
    <t>Perda de carga acumulada no troço</t>
  </si>
  <si>
    <t>Perda de carga admissível</t>
  </si>
  <si>
    <t>Calcular a velocidade de escoamento em cada troço:</t>
  </si>
  <si>
    <t>Velocidade de escoamento no troço</t>
  </si>
  <si>
    <r>
      <t xml:space="preserve">Calcular a Necessidade de Pressão-Abastecimento ( </t>
    </r>
    <r>
      <rPr>
        <b/>
        <sz val="9"/>
        <rFont val="Arial"/>
        <family val="2"/>
      </rPr>
      <t>P</t>
    </r>
    <r>
      <rPr>
        <b/>
        <vertAlign val="subscript"/>
        <sz val="12"/>
        <rFont val="Arial"/>
        <family val="2"/>
      </rPr>
      <t>i</t>
    </r>
    <r>
      <rPr>
        <vertAlign val="subscript"/>
        <sz val="12"/>
        <rFont val="Arial"/>
        <family val="2"/>
      </rPr>
      <t xml:space="preserve"> máx.</t>
    </r>
    <r>
      <rPr>
        <sz val="9"/>
        <rFont val="Arial"/>
        <family val="2"/>
      </rPr>
      <t>):</t>
    </r>
  </si>
  <si>
    <t>Necessidade de pressão</t>
  </si>
  <si>
    <r>
      <t>P</t>
    </r>
    <r>
      <rPr>
        <vertAlign val="subscript"/>
        <sz val="12"/>
        <rFont val="Arial"/>
        <family val="2"/>
      </rPr>
      <t>i máx.</t>
    </r>
  </si>
  <si>
    <t>Necessidade de caudal</t>
  </si>
  <si>
    <r>
      <t>Q</t>
    </r>
    <r>
      <rPr>
        <vertAlign val="subscript"/>
        <sz val="12"/>
        <rFont val="Arial"/>
        <family val="2"/>
      </rPr>
      <t>máx.</t>
    </r>
    <r>
      <rPr>
        <sz val="11"/>
        <rFont val="Arial"/>
        <family val="2"/>
      </rPr>
      <t/>
    </r>
  </si>
  <si>
    <t>10.1</t>
  </si>
  <si>
    <t>10.2</t>
  </si>
  <si>
    <t>Procedimento de Dimensionamento conforme os:</t>
  </si>
  <si>
    <t>- Dois sprinklers em funcionamento simultâneo.</t>
  </si>
  <si>
    <t>- Um sprinkler em funcionamento simultâneo e um nó.</t>
  </si>
  <si>
    <t>- Um nó e a saída da fonte de alimentação (Sistema de Bombagem).</t>
  </si>
  <si>
    <t>Estruturar o desenho da instalação, definindo os troços a dimensionar entre:</t>
  </si>
  <si>
    <t>Nó - Ponto de derivação de uma tubagem.</t>
  </si>
  <si>
    <t>Sprinkler mais afastado da F.A.</t>
  </si>
  <si>
    <t>Sprinkler em funcion. simultâneo</t>
  </si>
  <si>
    <t>Nó de uma tubagem</t>
  </si>
  <si>
    <t>Exemplos:</t>
  </si>
  <si>
    <t>S1</t>
  </si>
  <si>
    <t>S1, S2, S3..</t>
  </si>
  <si>
    <t>A, B, C, etc.</t>
  </si>
  <si>
    <t>Nº de troços de uma instalação</t>
  </si>
  <si>
    <t>1.11</t>
  </si>
  <si>
    <t>Espaçamento máx. entre sprinklers</t>
  </si>
  <si>
    <t xml:space="preserve">Afastamento máx. dos sub-ramais </t>
  </si>
  <si>
    <t>Fixar a área de operação</t>
  </si>
  <si>
    <t>9.3</t>
  </si>
  <si>
    <r>
      <t>Caudal mínimo por</t>
    </r>
    <r>
      <rPr>
        <i/>
        <sz val="9"/>
        <rFont val="Arial"/>
        <family val="2"/>
      </rPr>
      <t xml:space="preserve"> sprinkler</t>
    </r>
  </si>
  <si>
    <r>
      <t xml:space="preserve">Pressão mínima por </t>
    </r>
    <r>
      <rPr>
        <i/>
        <sz val="9"/>
        <rFont val="Arial"/>
        <family val="2"/>
      </rPr>
      <t>sprinkler</t>
    </r>
  </si>
  <si>
    <r>
      <t xml:space="preserve">Densidade do </t>
    </r>
    <r>
      <rPr>
        <i/>
        <sz val="9"/>
        <rFont val="Arial"/>
        <family val="2"/>
      </rPr>
      <t xml:space="preserve">sprinkler </t>
    </r>
  </si>
  <si>
    <r>
      <t>P</t>
    </r>
    <r>
      <rPr>
        <vertAlign val="subscript"/>
        <sz val="12"/>
        <rFont val="Arial"/>
        <family val="2"/>
      </rPr>
      <t>mín.S.</t>
    </r>
  </si>
  <si>
    <r>
      <t xml:space="preserve">Consultar </t>
    </r>
    <r>
      <rPr>
        <b/>
        <sz val="9"/>
        <rFont val="Arial"/>
        <family val="2"/>
      </rPr>
      <t>Quadro 4</t>
    </r>
    <r>
      <rPr>
        <sz val="9"/>
        <rFont val="Arial"/>
        <family val="2"/>
      </rPr>
      <t xml:space="preserve"> (referencial de unidades: "l/min" e "bar").</t>
    </r>
  </si>
  <si>
    <r>
      <t>q</t>
    </r>
    <r>
      <rPr>
        <vertAlign val="subscript"/>
        <sz val="8"/>
        <rFont val="Arial"/>
        <family val="2"/>
      </rPr>
      <t xml:space="preserve"> </t>
    </r>
    <r>
      <rPr>
        <vertAlign val="subscript"/>
        <sz val="12"/>
        <rFont val="Arial"/>
        <family val="2"/>
      </rPr>
      <t>unit.</t>
    </r>
  </si>
  <si>
    <r>
      <t>l/min.m</t>
    </r>
    <r>
      <rPr>
        <vertAlign val="superscript"/>
        <sz val="9"/>
        <rFont val="Arial"/>
        <family val="2"/>
      </rPr>
      <t>2</t>
    </r>
  </si>
  <si>
    <r>
      <t>Q</t>
    </r>
    <r>
      <rPr>
        <vertAlign val="subscript"/>
        <sz val="12"/>
        <rFont val="Arial"/>
        <family val="2"/>
      </rPr>
      <t>mín.S.</t>
    </r>
  </si>
  <si>
    <r>
      <t>NS</t>
    </r>
    <r>
      <rPr>
        <vertAlign val="subscript"/>
        <sz val="12"/>
        <rFont val="Arial"/>
        <family val="2"/>
      </rPr>
      <t xml:space="preserve"> sim. / s.r.</t>
    </r>
  </si>
  <si>
    <r>
      <t xml:space="preserve">Consultar </t>
    </r>
    <r>
      <rPr>
        <b/>
        <sz val="9"/>
        <rFont val="Arial"/>
        <family val="2"/>
      </rPr>
      <t>Quadro 3</t>
    </r>
    <r>
      <rPr>
        <sz val="9"/>
        <rFont val="Arial"/>
        <family val="2"/>
      </rPr>
      <t>.</t>
    </r>
  </si>
  <si>
    <r>
      <t>A</t>
    </r>
    <r>
      <rPr>
        <vertAlign val="subscript"/>
        <sz val="12"/>
        <rFont val="Arial"/>
        <family val="2"/>
      </rPr>
      <t>o</t>
    </r>
  </si>
  <si>
    <r>
      <t>m</t>
    </r>
    <r>
      <rPr>
        <vertAlign val="superscript"/>
        <sz val="9"/>
        <rFont val="Arial"/>
        <family val="2"/>
      </rPr>
      <t>2</t>
    </r>
  </si>
  <si>
    <t>Consultar desenho da instalação com os troços de tubagem devidamente codificados e situados entre:</t>
  </si>
  <si>
    <r>
      <t xml:space="preserve">Nº de </t>
    </r>
    <r>
      <rPr>
        <i/>
        <sz val="9"/>
        <rFont val="Arial"/>
        <family val="2"/>
      </rPr>
      <t xml:space="preserve">sprinklers </t>
    </r>
    <r>
      <rPr>
        <sz val="9"/>
        <rFont val="Arial"/>
        <family val="2"/>
      </rPr>
      <t>em funcionamento simultâneo por troço</t>
    </r>
  </si>
  <si>
    <r>
      <t xml:space="preserve">Nº total de </t>
    </r>
    <r>
      <rPr>
        <i/>
        <sz val="9"/>
        <rFont val="Arial"/>
        <family val="2"/>
      </rPr>
      <t>sprinklers</t>
    </r>
    <r>
      <rPr>
        <sz val="9"/>
        <rFont val="Arial"/>
        <family val="2"/>
      </rPr>
      <t xml:space="preserve"> abastecidos pelo troço</t>
    </r>
  </si>
  <si>
    <r>
      <t>NS</t>
    </r>
    <r>
      <rPr>
        <vertAlign val="subscript"/>
        <sz val="12"/>
        <rFont val="Arial"/>
        <family val="2"/>
      </rPr>
      <t xml:space="preserve"> sim.troço</t>
    </r>
  </si>
  <si>
    <r>
      <t>NS</t>
    </r>
    <r>
      <rPr>
        <vertAlign val="subscript"/>
        <sz val="12"/>
        <rFont val="Arial"/>
        <family val="2"/>
      </rPr>
      <t xml:space="preserve"> troço</t>
    </r>
  </si>
  <si>
    <r>
      <t>L</t>
    </r>
    <r>
      <rPr>
        <vertAlign val="subscript"/>
        <sz val="12"/>
        <rFont val="Arial"/>
        <family val="2"/>
      </rPr>
      <t>eq.</t>
    </r>
  </si>
  <si>
    <r>
      <t>NS</t>
    </r>
    <r>
      <rPr>
        <vertAlign val="subscript"/>
        <sz val="12"/>
        <rFont val="Arial"/>
        <family val="2"/>
      </rPr>
      <t>troço</t>
    </r>
  </si>
  <si>
    <r>
      <t>Q</t>
    </r>
    <r>
      <rPr>
        <vertAlign val="subscript"/>
        <sz val="12"/>
        <rFont val="Arial"/>
        <family val="2"/>
      </rPr>
      <t>S/</t>
    </r>
    <r>
      <rPr>
        <vertAlign val="subscript"/>
        <sz val="10"/>
        <rFont val="Arial"/>
        <family val="2"/>
      </rPr>
      <t>sub-ramal</t>
    </r>
  </si>
  <si>
    <r>
      <t xml:space="preserve">Dimensionar o troço que contém o sprinkler mais afastado da fonte de alimentação, designado por </t>
    </r>
    <r>
      <rPr>
        <b/>
        <sz val="9"/>
        <rFont val="Arial"/>
        <family val="2"/>
      </rPr>
      <t>S1</t>
    </r>
    <r>
      <rPr>
        <sz val="9"/>
        <rFont val="Arial"/>
        <family val="2"/>
      </rPr>
      <t xml:space="preserve">: </t>
    </r>
  </si>
  <si>
    <r>
      <t xml:space="preserve">Caudal mínimo por </t>
    </r>
    <r>
      <rPr>
        <i/>
        <sz val="9"/>
        <rFont val="Arial"/>
        <family val="2"/>
      </rPr>
      <t>sprinkler</t>
    </r>
  </si>
  <si>
    <t>Diâmetro interior normalizado</t>
  </si>
  <si>
    <t>Pressão inicial no troço</t>
  </si>
  <si>
    <r>
      <t xml:space="preserve">Consultar </t>
    </r>
    <r>
      <rPr>
        <b/>
        <sz val="9"/>
        <rFont val="Arial"/>
        <family val="2"/>
      </rPr>
      <t>Quadro 5</t>
    </r>
    <r>
      <rPr>
        <sz val="9"/>
        <rFont val="Arial"/>
        <family val="2"/>
      </rPr>
      <t>.</t>
    </r>
  </si>
  <si>
    <t>Subir um escalão no valor do diâmetro interior do tubo de aço.</t>
  </si>
  <si>
    <r>
      <t>D</t>
    </r>
    <r>
      <rPr>
        <vertAlign val="subscript"/>
        <sz val="12"/>
        <rFont val="Arial"/>
        <family val="2"/>
      </rPr>
      <t>i imposto</t>
    </r>
  </si>
  <si>
    <r>
      <t xml:space="preserve">Consultar </t>
    </r>
    <r>
      <rPr>
        <b/>
        <sz val="9"/>
        <rFont val="Arial"/>
        <family val="2"/>
      </rPr>
      <t>Quadro 1</t>
    </r>
    <r>
      <rPr>
        <sz val="9"/>
        <rFont val="Arial"/>
        <family val="2"/>
      </rPr>
      <t>, caso seja necessário redimensionar.</t>
    </r>
  </si>
  <si>
    <t>Se tal não suceder, subir um escalão no valor do diâmetro interior normalizado desse troço e regressar à fase 6.</t>
  </si>
  <si>
    <r>
      <t xml:space="preserve">Calcular a Necessidade de Caudal-Abastecimento ( </t>
    </r>
    <r>
      <rPr>
        <b/>
        <sz val="9"/>
        <rFont val="Arial"/>
        <family val="2"/>
      </rPr>
      <t>Q</t>
    </r>
    <r>
      <rPr>
        <vertAlign val="subscript"/>
        <sz val="12"/>
        <rFont val="Arial"/>
        <family val="2"/>
      </rPr>
      <t xml:space="preserve"> máx.</t>
    </r>
    <r>
      <rPr>
        <sz val="9"/>
        <rFont val="Arial"/>
        <family val="2"/>
      </rPr>
      <t>):</t>
    </r>
  </si>
  <si>
    <r>
      <t>Calcular a perda de carga dinâmica acumulada (</t>
    </r>
    <r>
      <rPr>
        <b/>
        <sz val="9"/>
        <rFont val="Arial"/>
        <family val="2"/>
      </rPr>
      <t>ΔP</t>
    </r>
    <r>
      <rPr>
        <vertAlign val="subscript"/>
        <sz val="12"/>
        <rFont val="Arial"/>
        <family val="2"/>
      </rPr>
      <t>acum.R.P.</t>
    </r>
    <r>
      <rPr>
        <sz val="9"/>
        <rFont val="Arial"/>
        <family val="2"/>
      </rPr>
      <t>) nos ramais principais:</t>
    </r>
  </si>
  <si>
    <r>
      <t>ΔP</t>
    </r>
    <r>
      <rPr>
        <vertAlign val="subscript"/>
        <sz val="12"/>
        <rFont val="Arial"/>
        <family val="2"/>
      </rPr>
      <t>acum.R.P.</t>
    </r>
  </si>
  <si>
    <r>
      <t>Fixar a perda de carga acumulada admissível (</t>
    </r>
    <r>
      <rPr>
        <b/>
        <sz val="9"/>
        <rFont val="Arial"/>
        <family val="2"/>
      </rPr>
      <t>ΔP</t>
    </r>
    <r>
      <rPr>
        <vertAlign val="subscript"/>
        <sz val="12"/>
        <rFont val="Arial"/>
        <family val="2"/>
      </rPr>
      <t>adm.R.P.</t>
    </r>
    <r>
      <rPr>
        <sz val="9"/>
        <rFont val="Arial"/>
        <family val="2"/>
      </rPr>
      <t>):</t>
    </r>
  </si>
  <si>
    <r>
      <t>ΔP</t>
    </r>
    <r>
      <rPr>
        <vertAlign val="subscript"/>
        <sz val="12"/>
        <rFont val="Arial"/>
        <family val="2"/>
      </rPr>
      <t>adm.R.P.</t>
    </r>
  </si>
  <si>
    <t>8.3</t>
  </si>
  <si>
    <t>Pressão final no troço</t>
  </si>
  <si>
    <t>Diâmetro exterior</t>
  </si>
  <si>
    <r>
      <rPr>
        <b/>
        <sz val="9"/>
        <rFont val="Arial"/>
        <family val="2"/>
      </rPr>
      <t>Adicionalmente</t>
    </r>
    <r>
      <rPr>
        <sz val="9"/>
        <rFont val="Arial"/>
        <family val="2"/>
      </rPr>
      <t>, as correspondentes dimensões da ligação roscada (</t>
    </r>
    <r>
      <rPr>
        <b/>
        <sz val="9"/>
        <rFont val="Arial"/>
        <family val="2"/>
      </rPr>
      <t>R</t>
    </r>
    <r>
      <rPr>
        <sz val="9"/>
        <rFont val="Arial"/>
        <family val="2"/>
      </rPr>
      <t xml:space="preserve">). </t>
    </r>
  </si>
  <si>
    <t>Consultar desenho da instalação com os troços devidamente codificados.</t>
  </si>
  <si>
    <r>
      <t>K</t>
    </r>
    <r>
      <rPr>
        <vertAlign val="subscript"/>
        <sz val="12"/>
        <rFont val="Arial"/>
        <family val="2"/>
      </rPr>
      <t>sub-ramal1</t>
    </r>
  </si>
  <si>
    <r>
      <t xml:space="preserve">Caudal de serviço do </t>
    </r>
    <r>
      <rPr>
        <i/>
        <sz val="9"/>
        <rFont val="Arial"/>
        <family val="2"/>
      </rPr>
      <t>sprinkler</t>
    </r>
  </si>
  <si>
    <r>
      <t>Q</t>
    </r>
    <r>
      <rPr>
        <vertAlign val="subscript"/>
        <sz val="12"/>
        <rFont val="Arial"/>
        <family val="2"/>
      </rPr>
      <t>S</t>
    </r>
  </si>
  <si>
    <r>
      <t>Q</t>
    </r>
    <r>
      <rPr>
        <vertAlign val="subscript"/>
        <sz val="12"/>
        <rFont val="Arial"/>
        <family val="2"/>
      </rPr>
      <t>mín.S</t>
    </r>
  </si>
  <si>
    <r>
      <t>P</t>
    </r>
    <r>
      <rPr>
        <vertAlign val="subscript"/>
        <sz val="12"/>
        <rFont val="Arial"/>
        <family val="2"/>
      </rPr>
      <t>mín.S</t>
    </r>
  </si>
  <si>
    <t>Caudal de serviço do sub-ramal</t>
  </si>
  <si>
    <r>
      <t>Q</t>
    </r>
    <r>
      <rPr>
        <vertAlign val="subscript"/>
        <sz val="12"/>
        <rFont val="Arial"/>
        <family val="2"/>
      </rPr>
      <t>sub-ramal</t>
    </r>
  </si>
  <si>
    <r>
      <t>Q</t>
    </r>
    <r>
      <rPr>
        <vertAlign val="subscript"/>
        <sz val="12"/>
        <rFont val="Arial"/>
        <family val="2"/>
      </rPr>
      <t>sub-ramal1</t>
    </r>
  </si>
  <si>
    <t>Caudal de serviço do sub-ramal 1</t>
  </si>
  <si>
    <t>Caudal de cálculo</t>
  </si>
  <si>
    <r>
      <t>Q</t>
    </r>
    <r>
      <rPr>
        <vertAlign val="subscript"/>
        <sz val="12"/>
        <rFont val="Arial"/>
        <family val="2"/>
      </rPr>
      <t>troço</t>
    </r>
  </si>
  <si>
    <t>Caudal acumulado a jusante</t>
  </si>
  <si>
    <r>
      <t>Q</t>
    </r>
    <r>
      <rPr>
        <vertAlign val="subscript"/>
        <sz val="10"/>
        <rFont val="Arial"/>
        <family val="2"/>
      </rPr>
      <t>acum. a jusante</t>
    </r>
  </si>
  <si>
    <t>Caudal a ser incorporado na determinação do caudal de cálculo.</t>
  </si>
  <si>
    <t>Para cada troço em análise, determinar o respectivo caudal de cálculo do seguinte modo:</t>
  </si>
  <si>
    <t>a) Se o troço em análise finaliza num sprinkler e:</t>
  </si>
  <si>
    <t>Designa-se por sub-ramal 1, o sub-ramal em funcionamento simultâneo que contém o sprinkler (S1) mais afastado da fonte de alimentação.</t>
  </si>
  <si>
    <r>
      <t>a2) a jusante existe outro sprinkler de funcionamento simultãneo, adoptar para efeitos de cálculo o seguinte caudal: Q</t>
    </r>
    <r>
      <rPr>
        <vertAlign val="subscript"/>
        <sz val="9"/>
        <rFont val="Arial"/>
        <family val="2"/>
      </rPr>
      <t>troço</t>
    </r>
    <r>
      <rPr>
        <sz val="9"/>
        <rFont val="Arial"/>
        <family val="2"/>
      </rPr>
      <t xml:space="preserve"> = Q</t>
    </r>
    <r>
      <rPr>
        <vertAlign val="subscript"/>
        <sz val="9"/>
        <rFont val="Arial"/>
        <family val="2"/>
      </rPr>
      <t xml:space="preserve">S </t>
    </r>
    <r>
      <rPr>
        <sz val="9"/>
        <rFont val="Arial"/>
        <family val="2"/>
      </rPr>
      <t>+ Q</t>
    </r>
    <r>
      <rPr>
        <vertAlign val="subscript"/>
        <sz val="9"/>
        <rFont val="Arial"/>
        <family val="2"/>
      </rPr>
      <t>acum. a jusante</t>
    </r>
    <r>
      <rPr>
        <sz val="9"/>
        <rFont val="Arial"/>
        <family val="2"/>
      </rPr>
      <t xml:space="preserve"> , onde Q</t>
    </r>
    <r>
      <rPr>
        <vertAlign val="subscript"/>
        <sz val="9"/>
        <rFont val="Arial"/>
        <family val="2"/>
      </rPr>
      <t>S</t>
    </r>
    <r>
      <rPr>
        <sz val="9"/>
        <rFont val="Arial"/>
        <family val="2"/>
      </rPr>
      <t xml:space="preserve"> =K.(P</t>
    </r>
    <r>
      <rPr>
        <vertAlign val="subscript"/>
        <sz val="9"/>
        <rFont val="Arial"/>
        <family val="2"/>
      </rPr>
      <t>fc</t>
    </r>
    <r>
      <rPr>
        <sz val="9"/>
        <rFont val="Arial"/>
        <family val="2"/>
      </rPr>
      <t xml:space="preserve"> / 100)</t>
    </r>
    <r>
      <rPr>
        <vertAlign val="superscript"/>
        <sz val="9"/>
        <rFont val="Arial"/>
        <family val="2"/>
      </rPr>
      <t>1/2</t>
    </r>
    <r>
      <rPr>
        <sz val="9"/>
        <rFont val="Arial"/>
        <family val="2"/>
      </rPr>
      <t>.</t>
    </r>
  </si>
  <si>
    <r>
      <t>b) Se o troço em análise finaliza num sub-ramal de  funcionamento simultâneo, adoptar para efeitos de cálculo:   Q</t>
    </r>
    <r>
      <rPr>
        <vertAlign val="subscript"/>
        <sz val="9"/>
        <rFont val="Arial"/>
        <family val="2"/>
      </rPr>
      <t>troço</t>
    </r>
    <r>
      <rPr>
        <sz val="9"/>
        <rFont val="Arial"/>
        <family val="2"/>
      </rPr>
      <t xml:space="preserve"> = Q</t>
    </r>
    <r>
      <rPr>
        <vertAlign val="subscript"/>
        <sz val="9"/>
        <rFont val="Arial"/>
        <family val="2"/>
      </rPr>
      <t>sub-ramal</t>
    </r>
    <r>
      <rPr>
        <sz val="9"/>
        <rFont val="Arial"/>
        <family val="2"/>
      </rPr>
      <t xml:space="preserve"> + Q</t>
    </r>
    <r>
      <rPr>
        <vertAlign val="subscript"/>
        <sz val="9"/>
        <rFont val="Arial"/>
        <family val="2"/>
      </rPr>
      <t>acum. a jusante</t>
    </r>
    <r>
      <rPr>
        <sz val="9"/>
        <rFont val="Arial"/>
        <family val="2"/>
      </rPr>
      <t xml:space="preserve"> e Q</t>
    </r>
    <r>
      <rPr>
        <vertAlign val="subscript"/>
        <sz val="9"/>
        <rFont val="Arial"/>
        <family val="2"/>
      </rPr>
      <t>sub-ramal</t>
    </r>
    <r>
      <rPr>
        <sz val="9"/>
        <rFont val="Arial"/>
        <family val="2"/>
      </rPr>
      <t xml:space="preserve"> = K</t>
    </r>
    <r>
      <rPr>
        <vertAlign val="subscript"/>
        <sz val="9"/>
        <rFont val="Arial"/>
        <family val="2"/>
      </rPr>
      <t>sub-ramal1</t>
    </r>
    <r>
      <rPr>
        <sz val="9"/>
        <rFont val="Arial"/>
        <family val="2"/>
      </rPr>
      <t>.(P</t>
    </r>
    <r>
      <rPr>
        <vertAlign val="subscript"/>
        <sz val="9"/>
        <rFont val="Arial"/>
        <family val="2"/>
      </rPr>
      <t>fc</t>
    </r>
    <r>
      <rPr>
        <sz val="9"/>
        <rFont val="Arial"/>
        <family val="2"/>
      </rPr>
      <t xml:space="preserve"> / 100)</t>
    </r>
    <r>
      <rPr>
        <vertAlign val="superscript"/>
        <sz val="9"/>
        <rFont val="Arial"/>
        <family val="2"/>
      </rPr>
      <t>1/2</t>
    </r>
    <r>
      <rPr>
        <sz val="9"/>
        <rFont val="Arial"/>
        <family val="2"/>
      </rPr>
      <t xml:space="preserve">  e K</t>
    </r>
    <r>
      <rPr>
        <vertAlign val="subscript"/>
        <sz val="9"/>
        <rFont val="Arial"/>
        <family val="2"/>
      </rPr>
      <t>sub-ramal1</t>
    </r>
    <r>
      <rPr>
        <sz val="9"/>
        <rFont val="Arial"/>
        <family val="2"/>
      </rPr>
      <t xml:space="preserve"> = Q</t>
    </r>
    <r>
      <rPr>
        <vertAlign val="subscript"/>
        <sz val="9"/>
        <rFont val="Arial"/>
        <family val="2"/>
      </rPr>
      <t>sub-ramal1</t>
    </r>
    <r>
      <rPr>
        <sz val="9"/>
        <rFont val="Arial"/>
        <family val="2"/>
      </rPr>
      <t>/(P</t>
    </r>
    <r>
      <rPr>
        <vertAlign val="subscript"/>
        <sz val="9"/>
        <rFont val="Arial"/>
        <family val="2"/>
      </rPr>
      <t>i sub-ramal1</t>
    </r>
    <r>
      <rPr>
        <sz val="9"/>
        <rFont val="Arial"/>
        <family val="2"/>
      </rPr>
      <t>/ 100)</t>
    </r>
    <r>
      <rPr>
        <vertAlign val="superscript"/>
        <sz val="9"/>
        <rFont val="Arial"/>
        <family val="2"/>
      </rPr>
      <t>1/2</t>
    </r>
    <r>
      <rPr>
        <sz val="9"/>
        <rFont val="Arial"/>
        <family val="2"/>
      </rPr>
      <t xml:space="preserve">. </t>
    </r>
  </si>
  <si>
    <r>
      <t>c) Ou então: Q</t>
    </r>
    <r>
      <rPr>
        <vertAlign val="subscript"/>
        <sz val="9"/>
        <rFont val="Arial"/>
        <family val="2"/>
      </rPr>
      <t>troço</t>
    </r>
    <r>
      <rPr>
        <sz val="9"/>
        <rFont val="Arial"/>
        <family val="2"/>
      </rPr>
      <t xml:space="preserve"> = Q</t>
    </r>
    <r>
      <rPr>
        <vertAlign val="subscript"/>
        <sz val="9"/>
        <rFont val="Arial"/>
        <family val="2"/>
      </rPr>
      <t>acum. a jusante</t>
    </r>
    <r>
      <rPr>
        <sz val="9"/>
        <rFont val="Arial"/>
        <family val="2"/>
      </rPr>
      <t xml:space="preserve">. </t>
    </r>
  </si>
  <si>
    <r>
      <t>A pressão final corrigida de um troço (</t>
    </r>
    <r>
      <rPr>
        <b/>
        <sz val="9"/>
        <rFont val="Arial"/>
        <family val="2"/>
      </rPr>
      <t>P</t>
    </r>
    <r>
      <rPr>
        <b/>
        <vertAlign val="subscript"/>
        <sz val="9"/>
        <rFont val="Arial"/>
        <family val="2"/>
      </rPr>
      <t>fc</t>
    </r>
    <r>
      <rPr>
        <sz val="9"/>
        <rFont val="Arial"/>
        <family val="2"/>
      </rPr>
      <t>), acrescenta à (</t>
    </r>
    <r>
      <rPr>
        <b/>
        <sz val="9"/>
        <rFont val="Arial"/>
        <family val="2"/>
      </rPr>
      <t>P</t>
    </r>
    <r>
      <rPr>
        <b/>
        <vertAlign val="subscript"/>
        <sz val="9"/>
        <rFont val="Arial"/>
        <family val="2"/>
      </rPr>
      <t>f</t>
    </r>
    <r>
      <rPr>
        <sz val="9"/>
        <rFont val="Arial"/>
        <family val="2"/>
      </rPr>
      <t>) a perda de carga estática nesse troço, devida ao desnível do mesmo (caso exista).</t>
    </r>
  </si>
  <si>
    <r>
      <rPr>
        <b/>
        <sz val="9"/>
        <rFont val="Arial"/>
        <family val="2"/>
      </rPr>
      <t>P</t>
    </r>
    <r>
      <rPr>
        <b/>
        <vertAlign val="subscript"/>
        <sz val="9"/>
        <rFont val="Arial"/>
        <family val="2"/>
      </rPr>
      <t>mín.S</t>
    </r>
    <r>
      <rPr>
        <b/>
        <sz val="9"/>
        <rFont val="Arial"/>
        <family val="2"/>
      </rPr>
      <t xml:space="preserve"> = P</t>
    </r>
    <r>
      <rPr>
        <b/>
        <vertAlign val="subscript"/>
        <sz val="9"/>
        <rFont val="Arial"/>
        <family val="2"/>
      </rPr>
      <t>fc</t>
    </r>
    <r>
      <rPr>
        <sz val="9"/>
        <rFont val="Arial"/>
        <family val="2"/>
      </rPr>
      <t xml:space="preserve"> do 1º troço a dimensionar, o qual finaliza no sprinkler (S1) mais afastado da fonte de alimentação.</t>
    </r>
  </si>
  <si>
    <t>n.º</t>
  </si>
  <si>
    <t>kPa/m</t>
  </si>
  <si>
    <r>
      <t>L</t>
    </r>
    <r>
      <rPr>
        <vertAlign val="subscript"/>
        <sz val="10"/>
        <rFont val="Arial"/>
        <family val="2"/>
      </rPr>
      <t>total</t>
    </r>
  </si>
  <si>
    <r>
      <t>L</t>
    </r>
    <r>
      <rPr>
        <vertAlign val="subscript"/>
        <sz val="10"/>
        <rFont val="Arial"/>
        <family val="2"/>
      </rPr>
      <t>real</t>
    </r>
  </si>
  <si>
    <t>Conversão de caudal</t>
  </si>
  <si>
    <t>Arred.</t>
  </si>
  <si>
    <t>l/s</t>
  </si>
  <si>
    <t>bar</t>
  </si>
  <si>
    <t>l/h</t>
  </si>
  <si>
    <t>m.c.a.</t>
  </si>
  <si>
    <t>dos troços</t>
  </si>
  <si>
    <t>simultâneo</t>
  </si>
  <si>
    <t>total</t>
  </si>
  <si>
    <t>real</t>
  </si>
  <si>
    <t>altura</t>
  </si>
  <si>
    <t>locais</t>
  </si>
  <si>
    <t>equiv.</t>
  </si>
  <si>
    <r>
      <t>Factor</t>
    </r>
    <r>
      <rPr>
        <sz val="9"/>
        <color indexed="9"/>
        <rFont val="Arial"/>
        <family val="2"/>
      </rPr>
      <t xml:space="preserve"> de</t>
    </r>
  </si>
  <si>
    <t>caudal</t>
  </si>
  <si>
    <t>cálculo</t>
  </si>
  <si>
    <t>material</t>
  </si>
  <si>
    <t>imposto</t>
  </si>
  <si>
    <t>interior</t>
  </si>
  <si>
    <t>exterior</t>
  </si>
  <si>
    <t>Diâmetro normalizado</t>
  </si>
  <si>
    <t>inicial</t>
  </si>
  <si>
    <t>final</t>
  </si>
  <si>
    <t>dinâmica</t>
  </si>
  <si>
    <r>
      <t>R</t>
    </r>
    <r>
      <rPr>
        <sz val="8"/>
        <rFont val="Arial"/>
        <family val="2"/>
      </rPr>
      <t xml:space="preserve"> / NPS</t>
    </r>
  </si>
  <si>
    <t>Obs.</t>
  </si>
  <si>
    <t>Diâmetro interior médio ponderado:</t>
  </si>
  <si>
    <r>
      <t>D</t>
    </r>
    <r>
      <rPr>
        <vertAlign val="subscript"/>
        <sz val="12"/>
        <rFont val="Arial"/>
        <family val="2"/>
      </rPr>
      <t>i médio</t>
    </r>
  </si>
  <si>
    <t>kW</t>
  </si>
  <si>
    <t>10.4</t>
  </si>
  <si>
    <t>kW ou CV</t>
  </si>
  <si>
    <r>
      <t>Pot.</t>
    </r>
    <r>
      <rPr>
        <vertAlign val="subscript"/>
        <sz val="12"/>
        <rFont val="Arial"/>
        <family val="2"/>
      </rPr>
      <t>mín.</t>
    </r>
    <r>
      <rPr>
        <sz val="11"/>
        <rFont val="Arial"/>
        <family val="2"/>
      </rPr>
      <t/>
    </r>
  </si>
  <si>
    <t>Potência mínima</t>
  </si>
  <si>
    <t>Nº</t>
  </si>
  <si>
    <t>Controlo do arranjo dos sprinklers</t>
  </si>
  <si>
    <t>Avaliação das perdas de carga estáticas acumuladas</t>
  </si>
  <si>
    <r>
      <t>ΔP</t>
    </r>
    <r>
      <rPr>
        <b/>
        <vertAlign val="subscript"/>
        <sz val="9"/>
        <rFont val="Arial"/>
        <family val="2"/>
      </rPr>
      <t>Estát.Total</t>
    </r>
  </si>
  <si>
    <r>
      <t>ΔP</t>
    </r>
    <r>
      <rPr>
        <b/>
        <sz val="8"/>
        <rFont val="Arial"/>
        <family val="2"/>
      </rPr>
      <t>est</t>
    </r>
  </si>
  <si>
    <t>ΔDin.Min.</t>
  </si>
  <si>
    <t xml:space="preserve">Avaliação das perdas de carga dinâmicas minímas acumuladas (atenção: baseadas em caudais NOMINAIS) </t>
  </si>
  <si>
    <t>Perda Carda Dinâmica Máx.</t>
  </si>
  <si>
    <t>Perda Carda Estática Máx.</t>
  </si>
  <si>
    <t>Estática+Dinâmica</t>
  </si>
  <si>
    <t>Trajecto Crítico-Perda de carga total</t>
  </si>
  <si>
    <t>Atenção: baseado em caudais NOMINAIS.</t>
  </si>
  <si>
    <t>Critério Final</t>
  </si>
  <si>
    <t>1º Critério</t>
  </si>
  <si>
    <r>
      <t>Trajecto Crítico (</t>
    </r>
    <r>
      <rPr>
        <b/>
        <sz val="9"/>
        <color indexed="10"/>
        <rFont val="Arial"/>
        <family val="2"/>
      </rPr>
      <t>em comprimento</t>
    </r>
    <r>
      <rPr>
        <b/>
        <sz val="9"/>
        <rFont val="Arial"/>
        <family val="2"/>
      </rPr>
      <t>)</t>
    </r>
  </si>
  <si>
    <t>Máximo comprimento</t>
  </si>
  <si>
    <r>
      <t>Nominal (</t>
    </r>
    <r>
      <rPr>
        <sz val="9"/>
        <color indexed="10"/>
        <rFont val="Arial"/>
        <family val="2"/>
      </rPr>
      <t>baseado em caudais NOMINAIS</t>
    </r>
    <r>
      <rPr>
        <sz val="9"/>
        <rFont val="Arial"/>
        <family val="2"/>
      </rPr>
      <t>)</t>
    </r>
  </si>
  <si>
    <t>NOMINAL</t>
  </si>
  <si>
    <t>Caudal e K do</t>
  </si>
  <si>
    <t>do Sub-Ramal 1</t>
  </si>
  <si>
    <t>Nó final</t>
  </si>
  <si>
    <r>
      <t>NS</t>
    </r>
    <r>
      <rPr>
        <vertAlign val="subscript"/>
        <sz val="8"/>
        <rFont val="Arial"/>
        <family val="2"/>
      </rPr>
      <t>sim.troço</t>
    </r>
  </si>
  <si>
    <t>Nº de sprinklers cálculo alim. em simultâneo</t>
  </si>
  <si>
    <t>Nº de sprinklers cálculo alim. em simultâneo do Sub-ramal 1 e pertencentes ao caminho crítico</t>
  </si>
  <si>
    <t>Caudais referentes ao Sub-Ramal 1 do troço crítico</t>
  </si>
  <si>
    <t>Localização</t>
  </si>
  <si>
    <t>de Extremos</t>
  </si>
  <si>
    <t>da Instalação</t>
  </si>
  <si>
    <t>Perda</t>
  </si>
  <si>
    <t>Carga</t>
  </si>
  <si>
    <t>Pos.</t>
  </si>
  <si>
    <t>Trajecto Crítico:</t>
  </si>
  <si>
    <t>Troço crítico</t>
  </si>
  <si>
    <t>Identificação</t>
  </si>
  <si>
    <t>Controlo da</t>
  </si>
  <si>
    <t>Altura do</t>
  </si>
  <si>
    <t>crítico</t>
  </si>
  <si>
    <t>Verif. da correcta</t>
  </si>
  <si>
    <t>introdução do nº de sprinklers</t>
  </si>
  <si>
    <t>máx. por sub-ramal</t>
  </si>
  <si>
    <t>Diâmetros mínimos em função do nº total de</t>
  </si>
  <si>
    <t>sprinklers abastecidos e do nível de risco</t>
  </si>
  <si>
    <t>no sub-ramal 1</t>
  </si>
  <si>
    <t>Posição</t>
  </si>
  <si>
    <t>Verif.</t>
  </si>
  <si>
    <t>Não Crítico</t>
  </si>
  <si>
    <t>2ª Verif. da correcta</t>
  </si>
  <si>
    <t>1ª Verif. da correcta</t>
  </si>
  <si>
    <t xml:space="preserve">garantindo que o nº de </t>
  </si>
  <si>
    <t>sprinklers de um troço</t>
  </si>
  <si>
    <t>não é inferior ao do troço a jusante</t>
  </si>
  <si>
    <t>Verificações da correcta introdução de dados</t>
  </si>
  <si>
    <t>Localização do troço a jusante</t>
  </si>
  <si>
    <t>Nº de sprinklers simultâneos alimentados pelo troço a jusante</t>
  </si>
  <si>
    <t>Diâmetro do troço a jusante (que tem de ser igual ou inferior ao diâmetro em análise)</t>
  </si>
  <si>
    <t>conforme nº de sprinklers da Bifurcação:</t>
  </si>
  <si>
    <t>Afectação de Caudais de Cálculo dos Sprinklers</t>
  </si>
  <si>
    <t>Identificação dos troços com bifurcações a montante</t>
  </si>
  <si>
    <t>Identificação da 1ª bifurcação a montante do troço</t>
  </si>
  <si>
    <t>Análise de bifurcações</t>
  </si>
  <si>
    <t>Caudais e Pressões nas bifurcações</t>
  </si>
  <si>
    <t>Caudais referentes aos Sub-Ramais 2,3, etc de troços não críticos</t>
  </si>
  <si>
    <t>Factor de correcção dos caudais</t>
  </si>
  <si>
    <t>Pi relacionada</t>
  </si>
  <si>
    <t>com troço crítico</t>
  </si>
  <si>
    <t>Nº Sprink. Sim. Alim. pelas bifurcações</t>
  </si>
  <si>
    <t>Localização de extremos</t>
  </si>
  <si>
    <t>Localização de Extremos da Instalação (valor 1 significa que é um extremo).</t>
  </si>
  <si>
    <t>Selecção de caudais intermédios a considerar</t>
  </si>
  <si>
    <t>Caudais referentes aos Sub-Ramais em funcionamento simultâneo</t>
  </si>
  <si>
    <t>Nº de Nós</t>
  </si>
  <si>
    <t>Pos. Máx. (crítico)</t>
  </si>
  <si>
    <t>Pos. Mín. (não crítico)</t>
  </si>
  <si>
    <t>Posição da bifurcação</t>
  </si>
  <si>
    <t>Nó inicial</t>
  </si>
  <si>
    <t>Nº de Sub-ramais simultâneos com caudais determinados directamemte</t>
  </si>
  <si>
    <r>
      <t>Q</t>
    </r>
    <r>
      <rPr>
        <vertAlign val="subscript"/>
        <sz val="10"/>
        <rFont val="Arial"/>
        <family val="2"/>
      </rPr>
      <t>sub-ramal</t>
    </r>
  </si>
  <si>
    <t>Caudais calculados directamente e ordenados de modo crescente</t>
  </si>
  <si>
    <t>Caudais calculados directamente e ordenados de modo decrescente</t>
  </si>
  <si>
    <t>Simultâneos com caudal obtido por analogia</t>
  </si>
  <si>
    <t>Estatuto do troço</t>
  </si>
  <si>
    <t>Situação em que existe uma bifurcação entre o conjunto de sub-ramais de funcionamento simultâneo.</t>
  </si>
  <si>
    <t>Obtidos por</t>
  </si>
  <si>
    <t>analogia</t>
  </si>
  <si>
    <t>Bifurcações com caudal obtido por analogia</t>
  </si>
  <si>
    <t>Identificação dos troços activos</t>
  </si>
  <si>
    <t>Troços com sprinkler no final</t>
  </si>
  <si>
    <t>Distinção entre Bifurcações</t>
  </si>
  <si>
    <t>com caudal obtido por analogia</t>
  </si>
  <si>
    <t>Activo para análise de bifurcações relevantes</t>
  </si>
  <si>
    <t>Identificação da bifurcação que alimenta todos os ramais simultâneos</t>
  </si>
  <si>
    <r>
      <t xml:space="preserve">Por defeito, a velocidade de escoamento admissível deverá situar-se entre </t>
    </r>
    <r>
      <rPr>
        <b/>
        <sz val="9"/>
        <rFont val="Arial"/>
        <family val="2"/>
      </rPr>
      <t>0,5</t>
    </r>
    <r>
      <rPr>
        <sz val="9"/>
        <rFont val="Arial"/>
        <family val="2"/>
      </rPr>
      <t xml:space="preserve"> e </t>
    </r>
    <r>
      <rPr>
        <b/>
        <sz val="9"/>
        <rFont val="Arial"/>
        <family val="2"/>
      </rPr>
      <t>6,0 m/s</t>
    </r>
    <r>
      <rPr>
        <sz val="9"/>
        <rFont val="Arial"/>
        <family val="2"/>
      </rPr>
      <t>, nos Ramais Principais (em conformidade com a norma EN 12845).</t>
    </r>
  </si>
  <si>
    <t>Verificação do correcto preenchimento sa coluna de nº de sprinklers simultâneos</t>
  </si>
  <si>
    <t>EN 12845</t>
  </si>
  <si>
    <t>Ligeiro (EN 12845)</t>
  </si>
  <si>
    <t>Ordinário - Grupo 1 (EN 12845)</t>
  </si>
  <si>
    <t>Ordinário - Grupo 2 (EN 12845)</t>
  </si>
  <si>
    <t>Ordinário - Grupo 3 (EN 12845)</t>
  </si>
  <si>
    <t>Ordinário - Grupo 4 (EN 12845)</t>
  </si>
  <si>
    <t>Extra - Grupo 1 (EN 12845)</t>
  </si>
  <si>
    <t>Extra - Grupo 2 (EN 12845)</t>
  </si>
  <si>
    <t>Extra - Grupo 3 (EN 12845)</t>
  </si>
  <si>
    <t>Extra</t>
  </si>
  <si>
    <t>Perda Carga</t>
  </si>
  <si>
    <r>
      <t>Dimensionamento conforme NFPA 13 ou EN 12845</t>
    </r>
    <r>
      <rPr>
        <b/>
        <sz val="10"/>
        <color indexed="8"/>
        <rFont val="Arial"/>
        <family val="2"/>
      </rPr>
      <t xml:space="preserve"> (X)</t>
    </r>
  </si>
  <si>
    <t>intermédio</t>
  </si>
  <si>
    <r>
      <rPr>
        <b/>
        <sz val="14"/>
        <color theme="5" tint="-0.499984740745262"/>
        <rFont val="Arial"/>
        <family val="2"/>
      </rPr>
      <t>Gráfico 2</t>
    </r>
    <r>
      <rPr>
        <i/>
        <sz val="11"/>
        <rFont val="Arial"/>
        <family val="2"/>
      </rPr>
      <t xml:space="preserve"> Curvas de densidade - Riscos </t>
    </r>
    <r>
      <rPr>
        <b/>
        <i/>
        <sz val="11"/>
        <rFont val="Arial"/>
        <family val="2"/>
      </rPr>
      <t>Graves</t>
    </r>
  </si>
  <si>
    <r>
      <t xml:space="preserve">K </t>
    </r>
    <r>
      <rPr>
        <sz val="8"/>
        <rFont val="Arial"/>
        <family val="2"/>
      </rPr>
      <t>métrico</t>
    </r>
  </si>
  <si>
    <r>
      <t>l/min.bar</t>
    </r>
    <r>
      <rPr>
        <vertAlign val="superscript"/>
        <sz val="9"/>
        <rFont val="Arial"/>
        <family val="2"/>
      </rPr>
      <t>0,5</t>
    </r>
  </si>
  <si>
    <t>K (métrico)</t>
  </si>
  <si>
    <t>kgf/cm²</t>
  </si>
  <si>
    <t>m³/h</t>
  </si>
  <si>
    <r>
      <t xml:space="preserve">Avaliar, </t>
    </r>
    <r>
      <rPr>
        <b/>
        <sz val="9"/>
        <rFont val="Arial"/>
        <family val="2"/>
      </rPr>
      <t>se aplicável</t>
    </r>
    <r>
      <rPr>
        <sz val="9"/>
        <rFont val="Arial"/>
        <family val="2"/>
      </rPr>
      <t>, o impacto da tubagem de aspiração na necessidade de pressão  (P</t>
    </r>
    <r>
      <rPr>
        <vertAlign val="subscript"/>
        <sz val="11"/>
        <rFont val="Arial"/>
        <family val="2"/>
      </rPr>
      <t>i máx.</t>
    </r>
    <r>
      <rPr>
        <sz val="9"/>
        <rFont val="Arial"/>
        <family val="2"/>
      </rPr>
      <t>):</t>
    </r>
  </si>
  <si>
    <t>Perda de carga total na aspiração</t>
  </si>
  <si>
    <r>
      <t>ΔP</t>
    </r>
    <r>
      <rPr>
        <vertAlign val="subscript"/>
        <sz val="12"/>
        <rFont val="Arial"/>
        <family val="2"/>
      </rPr>
      <t>total-asp.</t>
    </r>
  </si>
  <si>
    <t>Determinada através do comprimento da tubagem de aspiração, comprimento local equivalente e altura de aspiração.</t>
  </si>
  <si>
    <t>Fixar a área de operação:</t>
  </si>
  <si>
    <t>Codificar ou numerar sequencialmente, a partir do sprinkler mais afastado da fonte de alimentação (F.A.), designado por S1, todos os sprinklers em funcionamento simultâneo S1+i e nós até à fonte de alimentação da instalação:</t>
  </si>
  <si>
    <t>Fixar o espaçamento máximo entre sprinklers:</t>
  </si>
  <si>
    <t>Calcular o afastamento máximo dos sub-ramais:</t>
  </si>
  <si>
    <t>Calcular o número de sprinklers em funcionamento simultâneo por sub-ramal:</t>
  </si>
  <si>
    <t>Calcular o caudal unitário a dispersar por sprinkler:</t>
  </si>
  <si>
    <t>Calcular o caudal mínimo necessário ao correcto desempenho de cada sprinkler:</t>
  </si>
  <si>
    <t>Calcular a pressão dinâmica mínima no sprinkler mais afastado da fonte de alimentação:</t>
  </si>
  <si>
    <t>Fixar a % de afectação das perdas de carga locais:</t>
  </si>
  <si>
    <t>Decidir qual a fórmula de dimensionamento a utilizar:</t>
  </si>
  <si>
    <t>Fixar o factor de rugosidade aplicável a tubagens em aço para condução de água fria:</t>
  </si>
  <si>
    <t>Fixar a velocidade de escoamento admissível:</t>
  </si>
  <si>
    <r>
      <t>Introduzir a codificação dos diferentes troços estabelecida no desenho da instalação (</t>
    </r>
    <r>
      <rPr>
        <b/>
        <sz val="9"/>
        <rFont val="Arial"/>
        <family val="2"/>
      </rPr>
      <t>Fase 0</t>
    </r>
    <r>
      <rPr>
        <sz val="9"/>
        <rFont val="Arial"/>
        <family val="2"/>
      </rPr>
      <t>), definindo automaticamente os diversos "</t>
    </r>
    <r>
      <rPr>
        <b/>
        <sz val="9"/>
        <rFont val="Arial"/>
        <family val="2"/>
      </rPr>
      <t>N</t>
    </r>
    <r>
      <rPr>
        <sz val="9"/>
        <rFont val="Arial"/>
        <family val="2"/>
      </rPr>
      <t xml:space="preserve">" troços de tubagem. Com início a partir do </t>
    </r>
    <r>
      <rPr>
        <b/>
        <sz val="9"/>
        <rFont val="Arial"/>
        <family val="2"/>
      </rPr>
      <t>sprinkler mais afastado da fonte de alimentação, designado por S1</t>
    </r>
    <r>
      <rPr>
        <sz val="9"/>
        <rFont val="Arial"/>
        <family val="2"/>
      </rPr>
      <t>:</t>
    </r>
  </si>
  <si>
    <r>
      <t xml:space="preserve">Imputar a cada troço em análise o nº de </t>
    </r>
    <r>
      <rPr>
        <b/>
        <i/>
        <sz val="9"/>
        <rFont val="Arial"/>
        <family val="2"/>
      </rPr>
      <t>sprinklers</t>
    </r>
    <r>
      <rPr>
        <b/>
        <sz val="9"/>
        <rFont val="Arial"/>
        <family val="2"/>
      </rPr>
      <t xml:space="preserve"> abastecidos em simultâneo</t>
    </r>
    <r>
      <rPr>
        <sz val="9"/>
        <rFont val="Arial"/>
        <family val="2"/>
      </rPr>
      <t>, na coluna correspondente:</t>
    </r>
  </si>
  <si>
    <r>
      <t xml:space="preserve">Imputar a cada troço em análise o nº total de </t>
    </r>
    <r>
      <rPr>
        <b/>
        <i/>
        <sz val="9"/>
        <rFont val="Arial"/>
        <family val="2"/>
      </rPr>
      <t>sprinklers</t>
    </r>
    <r>
      <rPr>
        <b/>
        <sz val="9"/>
        <rFont val="Arial"/>
        <family val="2"/>
      </rPr>
      <t xml:space="preserve"> abastecidos pelo troço</t>
    </r>
    <r>
      <rPr>
        <sz val="9"/>
        <rFont val="Arial"/>
        <family val="2"/>
      </rPr>
      <t>, na coluna correspondente:</t>
    </r>
  </si>
  <si>
    <r>
      <t xml:space="preserve">Imputar a cada troço da instalação o respectivo comprimento e desnível. </t>
    </r>
    <r>
      <rPr>
        <b/>
        <sz val="9"/>
        <rFont val="Arial"/>
        <family val="2"/>
      </rPr>
      <t>Por opção</t>
    </r>
    <r>
      <rPr>
        <sz val="9"/>
        <rFont val="Arial"/>
        <family val="2"/>
      </rPr>
      <t xml:space="preserve">, adicionar ao comprimento do troço de tubo em análise, as perdas de carga referentes aos acessórios utilizados, por consulta do </t>
    </r>
    <r>
      <rPr>
        <b/>
        <sz val="9"/>
        <rFont val="Arial"/>
        <family val="2"/>
      </rPr>
      <t>Quadro 2</t>
    </r>
    <r>
      <rPr>
        <sz val="9"/>
        <rFont val="Arial"/>
        <family val="2"/>
      </rPr>
      <t>:</t>
    </r>
  </si>
  <si>
    <r>
      <t xml:space="preserve">Atribuir ao sprinkler </t>
    </r>
    <r>
      <rPr>
        <b/>
        <sz val="9"/>
        <rFont val="Arial"/>
        <family val="2"/>
      </rPr>
      <t>S1</t>
    </r>
    <r>
      <rPr>
        <sz val="9"/>
        <rFont val="Arial"/>
        <family val="2"/>
      </rPr>
      <t xml:space="preserve"> o caudal e pressão mínimos já calculados, necessários ao correcto desempenho do mesmo:</t>
    </r>
  </si>
  <si>
    <r>
      <t>Impor a dimensão nominal mínima (</t>
    </r>
    <r>
      <rPr>
        <b/>
        <sz val="9"/>
        <rFont val="Arial"/>
        <family val="2"/>
      </rPr>
      <t>DN 25</t>
    </r>
    <r>
      <rPr>
        <sz val="9"/>
        <rFont val="Arial"/>
        <family val="2"/>
      </rPr>
      <t xml:space="preserve">), aplicável a uma instalação do tipo extinção automática (ver </t>
    </r>
    <r>
      <rPr>
        <b/>
        <sz val="9"/>
        <rFont val="Arial"/>
        <family val="2"/>
      </rPr>
      <t>Quadro 5</t>
    </r>
    <r>
      <rPr>
        <sz val="9"/>
        <rFont val="Arial"/>
        <family val="2"/>
      </rPr>
      <t>):</t>
    </r>
  </si>
  <si>
    <r>
      <t xml:space="preserve">Fixar o correspondente diâmetro interior normalizado da tubagem de aço, em conformidade com a </t>
    </r>
    <r>
      <rPr>
        <b/>
        <sz val="9"/>
        <rFont val="Arial"/>
        <family val="2"/>
      </rPr>
      <t>norma europeia EN 10255 (Série Média)</t>
    </r>
    <r>
      <rPr>
        <sz val="9"/>
        <rFont val="Arial"/>
        <family val="2"/>
      </rPr>
      <t xml:space="preserve"> ou equivalente:</t>
    </r>
  </si>
  <si>
    <r>
      <t>Calcular a perda de carga unitária (</t>
    </r>
    <r>
      <rPr>
        <b/>
        <sz val="9"/>
        <rFont val="Arial"/>
        <family val="2"/>
      </rPr>
      <t>J</t>
    </r>
    <r>
      <rPr>
        <sz val="9"/>
        <rFont val="Arial"/>
        <family val="2"/>
      </rPr>
      <t>) deste troço:</t>
    </r>
  </si>
  <si>
    <r>
      <t>Calcular a perda de carga dinâmica (</t>
    </r>
    <r>
      <rPr>
        <b/>
        <sz val="9"/>
        <rFont val="Symbol"/>
        <family val="1"/>
        <charset val="2"/>
      </rPr>
      <t>D</t>
    </r>
    <r>
      <rPr>
        <b/>
        <sz val="9"/>
        <rFont val="Arial"/>
        <family val="2"/>
      </rPr>
      <t>P</t>
    </r>
    <r>
      <rPr>
        <sz val="9"/>
        <rFont val="Arial"/>
        <family val="2"/>
      </rPr>
      <t>) deste troço.:</t>
    </r>
  </si>
  <si>
    <r>
      <t>Calcular a pressão inicial (</t>
    </r>
    <r>
      <rPr>
        <b/>
        <sz val="9"/>
        <rFont val="Arial"/>
        <family val="2"/>
      </rPr>
      <t>P</t>
    </r>
    <r>
      <rPr>
        <b/>
        <vertAlign val="subscript"/>
        <sz val="11"/>
        <rFont val="Arial"/>
        <family val="2"/>
      </rPr>
      <t>i</t>
    </r>
    <r>
      <rPr>
        <sz val="9"/>
        <rFont val="Arial"/>
        <family val="2"/>
      </rPr>
      <t>) deste troço:</t>
    </r>
  </si>
  <si>
    <r>
      <t xml:space="preserve">Para cada troço em análise, impor a dimensão nominal mínima aplicável a uma instalação do tipo extinção automática, em função do </t>
    </r>
    <r>
      <rPr>
        <b/>
        <sz val="9"/>
        <rFont val="Arial"/>
        <family val="2"/>
      </rPr>
      <t>nº total de sprinklers abastecidos</t>
    </r>
    <r>
      <rPr>
        <sz val="9"/>
        <rFont val="Arial"/>
        <family val="2"/>
      </rPr>
      <t xml:space="preserve"> (ver </t>
    </r>
    <r>
      <rPr>
        <b/>
        <sz val="9"/>
        <rFont val="Arial"/>
        <family val="2"/>
      </rPr>
      <t>Quadro 5</t>
    </r>
    <r>
      <rPr>
        <sz val="9"/>
        <rFont val="Arial"/>
        <family val="2"/>
      </rPr>
      <t>):</t>
    </r>
  </si>
  <si>
    <r>
      <t xml:space="preserve">Fixar o correspondente diâmetro interior normalizado da tubagem de aço, em conformidade com a </t>
    </r>
    <r>
      <rPr>
        <b/>
        <sz val="9"/>
        <rFont val="Arial"/>
        <family val="2"/>
      </rPr>
      <t>norma europeia EN 10255 (Série Média)</t>
    </r>
    <r>
      <rPr>
        <sz val="9"/>
        <rFont val="Arial"/>
        <family val="2"/>
      </rPr>
      <t xml:space="preserve"> ou equivalente. Assim como, as correspondentes designações normalizadas do tubo de aço:</t>
    </r>
  </si>
  <si>
    <t>Calcular, se aplicável, a potência mínima da fonte de pressão, o NPSH admissivel e a capacidade do reservatório:</t>
  </si>
  <si>
    <t>(Definindo-se os diversos "N" troços de tubagem a dimensionar)</t>
  </si>
  <si>
    <r>
      <t xml:space="preserve">Tendo-se iniciado a análise pelo troço da instalação que contém o </t>
    </r>
    <r>
      <rPr>
        <i/>
        <sz val="9"/>
        <rFont val="Arial"/>
        <family val="2"/>
      </rPr>
      <t>sprinkler</t>
    </r>
    <r>
      <rPr>
        <b/>
        <sz val="9"/>
        <rFont val="Arial"/>
        <family val="2"/>
      </rPr>
      <t xml:space="preserve"> S1 </t>
    </r>
    <r>
      <rPr>
        <sz val="9"/>
        <rFont val="Arial"/>
        <family val="2"/>
      </rPr>
      <t xml:space="preserve">considerado na posição mais desfavorável, percorrer a instalação de </t>
    </r>
    <r>
      <rPr>
        <b/>
        <sz val="9"/>
        <rFont val="Arial"/>
        <family val="2"/>
      </rPr>
      <t>forma sequêncial e do fim para o início</t>
    </r>
    <r>
      <rPr>
        <sz val="9"/>
        <rFont val="Arial"/>
        <family val="2"/>
      </rPr>
      <t xml:space="preserve">, para o cálculo das pressões instaladas em cada troço: </t>
    </r>
  </si>
  <si>
    <r>
      <t xml:space="preserve">Coeficiente de caudal do </t>
    </r>
    <r>
      <rPr>
        <i/>
        <sz val="9"/>
        <rFont val="Arial"/>
        <family val="2"/>
      </rPr>
      <t>sprinkler</t>
    </r>
  </si>
  <si>
    <t>Fixar o coeficiente de caudal dos sprinklers:</t>
  </si>
  <si>
    <t>Coeficiente de caudal do sub-ramal 1</t>
  </si>
  <si>
    <t>D =</t>
  </si>
  <si>
    <t>Necessidade de pressão - Abastecimento:</t>
  </si>
  <si>
    <r>
      <t>P</t>
    </r>
    <r>
      <rPr>
        <vertAlign val="subscript"/>
        <sz val="10"/>
        <rFont val="Arial"/>
        <family val="2"/>
      </rPr>
      <t>mín.S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</si>
  <si>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i máx.</t>
    </r>
    <r>
      <rPr>
        <sz val="10"/>
        <rFont val="Arial"/>
        <family val="2"/>
      </rPr>
      <t xml:space="preserve"> =</t>
    </r>
  </si>
  <si>
    <t xml:space="preserve"> Tubagem de aspiração</t>
  </si>
  <si>
    <t>Gravidade</t>
  </si>
  <si>
    <t>Pressão dinâmica no sprinkler mais desfavorável:</t>
  </si>
  <si>
    <r>
      <t>Δ</t>
    </r>
    <r>
      <rPr>
        <vertAlign val="subscript"/>
        <sz val="11"/>
        <rFont val="Arial"/>
        <family val="2"/>
      </rPr>
      <t>din.-asp.</t>
    </r>
    <r>
      <rPr>
        <sz val="10"/>
        <rFont val="Arial"/>
        <family val="2"/>
      </rPr>
      <t xml:space="preserve"> =</t>
    </r>
  </si>
  <si>
    <t>Perda de carga dinâm. na aspiração:</t>
  </si>
  <si>
    <t>Conversão de pressão</t>
  </si>
  <si>
    <t>Bloco unidades</t>
  </si>
  <si>
    <t>Pressão</t>
  </si>
  <si>
    <t>Pressão para m.c.a.</t>
  </si>
  <si>
    <t>Velocidade na tubagem de aspiração (m/s)</t>
  </si>
  <si>
    <t>Equação geral da curva da instalação:</t>
  </si>
  <si>
    <t>Curvas da instalação mais relevantes:</t>
  </si>
  <si>
    <r>
      <t>P</t>
    </r>
    <r>
      <rPr>
        <vertAlign val="subscript"/>
        <sz val="11"/>
        <rFont val="Arial"/>
        <family val="2"/>
      </rPr>
      <t>total</t>
    </r>
  </si>
  <si>
    <r>
      <t>Q</t>
    </r>
    <r>
      <rPr>
        <vertAlign val="subscript"/>
        <sz val="11"/>
        <rFont val="Arial"/>
        <family val="2"/>
      </rPr>
      <t>máx.</t>
    </r>
  </si>
  <si>
    <r>
      <t>ΔP</t>
    </r>
    <r>
      <rPr>
        <vertAlign val="subscript"/>
        <sz val="11"/>
        <rFont val="Arial"/>
        <family val="2"/>
      </rPr>
      <t>est.</t>
    </r>
  </si>
  <si>
    <r>
      <t>C</t>
    </r>
    <r>
      <rPr>
        <vertAlign val="subscript"/>
        <sz val="11"/>
        <rFont val="Arial"/>
        <family val="2"/>
      </rPr>
      <t>inst.</t>
    </r>
  </si>
  <si>
    <t>L =</t>
  </si>
  <si>
    <t>h =</t>
  </si>
  <si>
    <t>Curva prevista da fonte de pressão</t>
  </si>
  <si>
    <t>Limites da curva da fonte de pressão</t>
  </si>
  <si>
    <r>
      <t>Volume</t>
    </r>
    <r>
      <rPr>
        <vertAlign val="subscript"/>
        <sz val="11"/>
        <rFont val="Arial"/>
        <family val="2"/>
      </rPr>
      <t xml:space="preserve">reservatório </t>
    </r>
    <r>
      <rPr>
        <sz val="10"/>
        <rFont val="Arial"/>
        <family val="2"/>
      </rPr>
      <t>=</t>
    </r>
  </si>
  <si>
    <r>
      <t>m</t>
    </r>
    <r>
      <rPr>
        <sz val="11"/>
        <rFont val="Arial"/>
        <family val="2"/>
      </rPr>
      <t>³</t>
    </r>
  </si>
  <si>
    <t>Critérios arredondamento</t>
  </si>
  <si>
    <t>Caudal máximo</t>
  </si>
  <si>
    <t>Pressão total</t>
  </si>
  <si>
    <t>Recta de aproximação da 2ª parte da curva da bomba:</t>
  </si>
  <si>
    <t>declive (m):</t>
  </si>
  <si>
    <t>constante:</t>
  </si>
  <si>
    <t>Limites da curva da fonte pressão</t>
  </si>
  <si>
    <t>L.Superior</t>
  </si>
  <si>
    <t>P = mQ + constante</t>
  </si>
  <si>
    <t>L.Inferior</t>
  </si>
  <si>
    <t>Raiz 1:</t>
  </si>
  <si>
    <t>Verif.1</t>
  </si>
  <si>
    <t>Verif.3</t>
  </si>
  <si>
    <t>Verif.5</t>
  </si>
  <si>
    <t>Raiz 2:</t>
  </si>
  <si>
    <t>Verif.2</t>
  </si>
  <si>
    <t>Verif.4</t>
  </si>
  <si>
    <t>Verif.6</t>
  </si>
  <si>
    <t>Média</t>
  </si>
  <si>
    <t>Verif.7</t>
  </si>
  <si>
    <t>Verif.9</t>
  </si>
  <si>
    <t>Verif.11</t>
  </si>
  <si>
    <t>Verif.8</t>
  </si>
  <si>
    <t>Verif.10</t>
  </si>
  <si>
    <t>Verif.12</t>
  </si>
  <si>
    <r>
      <t xml:space="preserve">Curva da instalação </t>
    </r>
    <r>
      <rPr>
        <b/>
        <sz val="10"/>
        <color rgb="FFFF0000"/>
        <rFont val="Arial"/>
        <family val="2"/>
      </rPr>
      <t>crítica 1 BI</t>
    </r>
  </si>
  <si>
    <t>Valor final:</t>
  </si>
  <si>
    <r>
      <t xml:space="preserve">Curva da instalação </t>
    </r>
    <r>
      <rPr>
        <b/>
        <sz val="10"/>
        <color rgb="FFFF0000"/>
        <rFont val="Arial"/>
        <family val="2"/>
      </rPr>
      <t>mais crítica</t>
    </r>
  </si>
  <si>
    <t>litros</t>
  </si>
  <si>
    <t>min.</t>
  </si>
  <si>
    <t>l/min.</t>
  </si>
  <si>
    <t>Início:</t>
  </si>
  <si>
    <r>
      <t>Δ</t>
    </r>
    <r>
      <rPr>
        <vertAlign val="subscript"/>
        <sz val="10"/>
        <rFont val="Arial"/>
        <family val="2"/>
      </rPr>
      <t>est</t>
    </r>
  </si>
  <si>
    <r>
      <t>L</t>
    </r>
    <r>
      <rPr>
        <vertAlign val="subscript"/>
        <sz val="11"/>
        <rFont val="Arial"/>
        <family val="2"/>
      </rPr>
      <t>eq</t>
    </r>
  </si>
  <si>
    <r>
      <t>Q</t>
    </r>
    <r>
      <rPr>
        <vertAlign val="subscript"/>
        <sz val="11"/>
        <rFont val="Arial"/>
        <family val="2"/>
      </rPr>
      <t>troço</t>
    </r>
    <r>
      <rPr>
        <sz val="11"/>
        <rFont val="Arial"/>
        <family val="2"/>
      </rPr>
      <t/>
    </r>
  </si>
  <si>
    <r>
      <t>P</t>
    </r>
    <r>
      <rPr>
        <vertAlign val="subscript"/>
        <sz val="11"/>
        <rFont val="Arial"/>
        <family val="2"/>
      </rPr>
      <t>i máx.</t>
    </r>
  </si>
  <si>
    <r>
      <t>P</t>
    </r>
    <r>
      <rPr>
        <vertAlign val="subscript"/>
        <sz val="11"/>
        <rFont val="Arial"/>
        <family val="2"/>
      </rPr>
      <t>mín. B.I.</t>
    </r>
  </si>
  <si>
    <t>Curva mais crítica (com apenas 1 Sprinkler em simultâneo)</t>
  </si>
  <si>
    <t>Estimativa do ponto de Intersecção da curva menos crítica e a curva da bomba (iterações):</t>
  </si>
  <si>
    <t>Apenas 1 sprinkler crítico em func. (posição teórica)</t>
  </si>
  <si>
    <t>Total de sprinklers menos críticas em funcionamento simultâneo (posição teórica)</t>
  </si>
  <si>
    <t>Apenas 1 sprinkler menos crítico em funcionamento (posição teórica)</t>
  </si>
  <si>
    <t>sprinkler</t>
  </si>
  <si>
    <t>do nó</t>
  </si>
  <si>
    <t>Troços</t>
  </si>
  <si>
    <t>relevantes</t>
  </si>
  <si>
    <r>
      <t xml:space="preserve">Curva </t>
    </r>
    <r>
      <rPr>
        <b/>
        <sz val="10"/>
        <color rgb="FF00B050"/>
        <rFont val="Arial"/>
        <family val="2"/>
      </rPr>
      <t>menos crítica (com total de Sprinklers em simultâneo)</t>
    </r>
  </si>
  <si>
    <r>
      <t>L</t>
    </r>
    <r>
      <rPr>
        <vertAlign val="subscript"/>
        <sz val="10"/>
        <rFont val="Arial"/>
        <family val="2"/>
      </rPr>
      <t>eq.Loc.</t>
    </r>
  </si>
  <si>
    <t>Nº Sprink.</t>
  </si>
  <si>
    <t>Diâmetro</t>
  </si>
  <si>
    <t>Dinâmica</t>
  </si>
  <si>
    <t>Estática</t>
  </si>
  <si>
    <t>Total</t>
  </si>
  <si>
    <r>
      <t>ΔP</t>
    </r>
    <r>
      <rPr>
        <vertAlign val="subscript"/>
        <sz val="9"/>
        <rFont val="Arial"/>
        <family val="2"/>
      </rPr>
      <t>est.</t>
    </r>
  </si>
  <si>
    <r>
      <t>ΔP</t>
    </r>
    <r>
      <rPr>
        <vertAlign val="subscript"/>
        <sz val="10"/>
        <rFont val="Arial"/>
        <family val="2"/>
      </rPr>
      <t>est.</t>
    </r>
  </si>
  <si>
    <r>
      <t>ΔP</t>
    </r>
    <r>
      <rPr>
        <vertAlign val="subscript"/>
        <sz val="10"/>
        <rFont val="Arial"/>
        <family val="2"/>
      </rPr>
      <t>c</t>
    </r>
  </si>
  <si>
    <t>Perdas de carga</t>
  </si>
  <si>
    <t>Perda de carga total nos troços abaixo detalhados:</t>
  </si>
  <si>
    <t>Totais:</t>
  </si>
  <si>
    <t>Perda de carga nos troços relevantes:</t>
  </si>
  <si>
    <t>Perda de carga nos troços abaixo detalhados:</t>
  </si>
  <si>
    <r>
      <t xml:space="preserve">Curva </t>
    </r>
    <r>
      <rPr>
        <b/>
        <sz val="10"/>
        <color rgb="FF00B050"/>
        <rFont val="Arial"/>
        <family val="2"/>
      </rPr>
      <t>menos crítica (com apenas 1 Sprinkler em simultâneo)</t>
    </r>
  </si>
  <si>
    <t xml:space="preserve"> Identificação do nó de derivação</t>
  </si>
  <si>
    <t xml:space="preserve"> Detalhes dos ramais a jusante do nó de derivação:</t>
  </si>
  <si>
    <t>Perda de carga total nos troços críticos relevantes:</t>
  </si>
  <si>
    <t>Perda de carga nos troços críticos relevantes:</t>
  </si>
  <si>
    <r>
      <t xml:space="preserve">Análise da situação </t>
    </r>
    <r>
      <rPr>
        <sz val="12"/>
        <color rgb="FF00B050"/>
        <rFont val="Arial"/>
        <family val="2"/>
      </rPr>
      <t>menos crítica</t>
    </r>
    <r>
      <rPr>
        <sz val="12"/>
        <rFont val="Arial"/>
        <family val="2"/>
      </rPr>
      <t>:</t>
    </r>
  </si>
  <si>
    <r>
      <t>ΔP</t>
    </r>
    <r>
      <rPr>
        <vertAlign val="subscript"/>
        <sz val="10"/>
        <rFont val="Arial"/>
        <family val="2"/>
      </rPr>
      <t>c1</t>
    </r>
    <r>
      <rPr>
        <sz val="9"/>
        <rFont val="Arial"/>
        <family val="2"/>
      </rPr>
      <t xml:space="preserve"> =</t>
    </r>
  </si>
  <si>
    <r>
      <t>ΔP</t>
    </r>
    <r>
      <rPr>
        <vertAlign val="subscript"/>
        <sz val="10"/>
        <rFont val="Arial"/>
        <family val="2"/>
      </rPr>
      <t>c2</t>
    </r>
    <r>
      <rPr>
        <sz val="9"/>
        <rFont val="Arial"/>
        <family val="2"/>
      </rPr>
      <t xml:space="preserve"> =</t>
    </r>
  </si>
  <si>
    <t>Análise alternativa:</t>
  </si>
  <si>
    <t>Local.</t>
  </si>
  <si>
    <r>
      <rPr>
        <sz val="10"/>
        <rFont val="Arial"/>
        <family val="2"/>
      </rPr>
      <t>ΔP</t>
    </r>
    <r>
      <rPr>
        <vertAlign val="subscript"/>
        <sz val="11"/>
        <rFont val="Arial"/>
        <family val="2"/>
      </rPr>
      <t>est.</t>
    </r>
  </si>
  <si>
    <t>Diferença:</t>
  </si>
  <si>
    <t>Decisão:</t>
  </si>
  <si>
    <t>Diâmetros mínimos em função do nº total de sprinklers abastecidos e do nível de risco</t>
  </si>
  <si>
    <t>Acessórios roscados em fundição maleável conformes NP EN 10242</t>
  </si>
  <si>
    <t>Acessórios ranhurados</t>
  </si>
  <si>
    <t>Válvulas</t>
  </si>
  <si>
    <t>Matriz de afectação dos acessórios utilizados</t>
  </si>
  <si>
    <t>(cálculo do comprimento equivalente)</t>
  </si>
  <si>
    <t>3.3a</t>
  </si>
  <si>
    <t>3.3b</t>
  </si>
  <si>
    <t>Comprimentos Equivalentes</t>
  </si>
  <si>
    <t>dimensão</t>
  </si>
  <si>
    <t>local</t>
  </si>
  <si>
    <t>adicional</t>
  </si>
  <si>
    <t>Parcial</t>
  </si>
  <si>
    <r>
      <t>L</t>
    </r>
    <r>
      <rPr>
        <vertAlign val="subscript"/>
        <sz val="11"/>
        <rFont val="Arial"/>
        <family val="2"/>
      </rPr>
      <t>eq. local</t>
    </r>
  </si>
  <si>
    <r>
      <t>L</t>
    </r>
    <r>
      <rPr>
        <vertAlign val="subscript"/>
        <sz val="11"/>
        <rFont val="Arial"/>
        <family val="2"/>
      </rPr>
      <t>eq. adic.</t>
    </r>
  </si>
  <si>
    <r>
      <t>L</t>
    </r>
    <r>
      <rPr>
        <vertAlign val="subscript"/>
        <sz val="11"/>
        <rFont val="Arial"/>
        <family val="2"/>
      </rPr>
      <t>eq. parc.</t>
    </r>
  </si>
  <si>
    <t>Designação / Imagem</t>
  </si>
  <si>
    <t>Dim. Rosca:</t>
  </si>
  <si>
    <r>
      <t>Dim</t>
    </r>
    <r>
      <rPr>
        <sz val="8.5"/>
        <rFont val="Arial"/>
        <family val="2"/>
      </rPr>
      <t xml:space="preserve">. </t>
    </r>
    <r>
      <rPr>
        <sz val="10"/>
        <rFont val="Arial"/>
        <family val="2"/>
      </rPr>
      <t>Nominal</t>
    </r>
    <r>
      <rPr>
        <sz val="9"/>
        <rFont val="Arial"/>
        <family val="2"/>
      </rPr>
      <t>:</t>
    </r>
  </si>
  <si>
    <t>União de redução</t>
  </si>
  <si>
    <t>Junção sede plana</t>
  </si>
  <si>
    <t>Junção sede plana, m/f</t>
  </si>
  <si>
    <t>Junção sede cónica</t>
  </si>
  <si>
    <t>Dimensão do Acessório Ranhurado em ferro fundido dúctil</t>
  </si>
  <si>
    <t>RN</t>
  </si>
  <si>
    <t>União ranhurada</t>
  </si>
  <si>
    <t>FR</t>
  </si>
  <si>
    <t>Uniáo de red. ranhurada</t>
  </si>
  <si>
    <t>Joelho 90º ranhurado</t>
  </si>
  <si>
    <t>Joelho 45º ranhurado</t>
  </si>
  <si>
    <t>Tê ranhurado</t>
  </si>
  <si>
    <t>DA1</t>
  </si>
  <si>
    <t>Derivação roscada</t>
  </si>
  <si>
    <t>Dimensão da Válvula em ferro fundido dúctil ou latão</t>
  </si>
  <si>
    <t>Válvula de comporta</t>
  </si>
  <si>
    <t>Válvula de globo</t>
  </si>
  <si>
    <t>Válvula de retenção</t>
  </si>
  <si>
    <t>Válvula de aspiração</t>
  </si>
  <si>
    <t>BI</t>
  </si>
  <si>
    <t>Válvula de corte BI</t>
  </si>
  <si>
    <t>Quadro 1</t>
  </si>
  <si>
    <r>
      <t xml:space="preserve"> RTSCIE - Dimensionamento de Sistema de Extinção Automática</t>
    </r>
    <r>
      <rPr>
        <sz val="13"/>
        <color indexed="9"/>
        <rFont val="Arial"/>
        <family val="2"/>
      </rPr>
      <t xml:space="preserve"> (Rede de Sprinklers Tipo Húmida)</t>
    </r>
  </si>
  <si>
    <r>
      <t>Dimensionamento conforme RTSCIE</t>
    </r>
    <r>
      <rPr>
        <b/>
        <sz val="10"/>
        <color indexed="8"/>
        <rFont val="Arial"/>
        <family val="2"/>
      </rPr>
      <t xml:space="preserve"> (X)</t>
    </r>
  </si>
  <si>
    <t>Utilização Tipo II (RTSCIE)</t>
  </si>
  <si>
    <t>Utilização Tipo III (RTSCIE)</t>
  </si>
  <si>
    <t>Utilização Tipo VI (RTSCIE)</t>
  </si>
  <si>
    <t>Utilização Tipo VII (RTSCIE)</t>
  </si>
  <si>
    <t>Utilização Tipo VIII (RTSCIE)</t>
  </si>
  <si>
    <t>Utilização Tipo XII (RTSCIE)</t>
  </si>
  <si>
    <t>Factor de correcção caudal intermédio</t>
  </si>
  <si>
    <t>Factor de correcção dos caudais intermédios (sub-ramais)</t>
  </si>
  <si>
    <r>
      <t>NS</t>
    </r>
    <r>
      <rPr>
        <vertAlign val="subscript"/>
        <sz val="10"/>
        <rFont val="Arial"/>
        <family val="2"/>
      </rPr>
      <t>sim.troço seguinte</t>
    </r>
  </si>
  <si>
    <t>Modo de aspiração: positiva se = 1 ; negativa se = 2.</t>
  </si>
  <si>
    <t>Vmáx.asp.=</t>
  </si>
  <si>
    <t>Di mín.asp.=</t>
  </si>
  <si>
    <t>RGSCIE - NT nº 15.</t>
  </si>
  <si>
    <t>V p/ caudal sobrecarga =</t>
  </si>
  <si>
    <t>V p/ caudal máximo =</t>
  </si>
  <si>
    <t xml:space="preserve">Massa ( m ): </t>
  </si>
  <si>
    <t>Galvanizado: A camada de zinco do tubo de aço é aplicada por “Imersão a Quente” e possui uma massa depositada</t>
  </si>
  <si>
    <t>Roscas ( R ):</t>
  </si>
  <si>
    <t>Conformes a norma NP EN 10226-1 ; Tubos fornecidos com comprimento normalizado = 6 m.</t>
  </si>
  <si>
    <t>Valor mínimo teórico do caudal de cálculo no troço em análise</t>
  </si>
  <si>
    <t>tubo aço EN 10255</t>
  </si>
  <si>
    <t>Usualmente limitada a 50 kPa, em conformidade com EN 12845 (Secção 13.3.4.3).</t>
  </si>
  <si>
    <t>Área de operação :</t>
  </si>
  <si>
    <t>Área de cobertura por sprinkler :</t>
  </si>
  <si>
    <t>Espaçamento entre sprinkers :</t>
  </si>
  <si>
    <t>Caudal unitário a dispersar por sprinkler :</t>
  </si>
  <si>
    <r>
      <t>Opção de dimensionamento com recurso à fórmula de Flamant (</t>
    </r>
    <r>
      <rPr>
        <b/>
        <sz val="10"/>
        <rFont val="Arial"/>
        <family val="2"/>
      </rPr>
      <t>X</t>
    </r>
    <r>
      <rPr>
        <sz val="10"/>
        <rFont val="Arial"/>
        <family val="2"/>
      </rPr>
      <t xml:space="preserve">) : </t>
    </r>
  </si>
  <si>
    <t>Constante de rugosidade aplicável a água fria :</t>
  </si>
  <si>
    <t>Seleccionar unidades de caudal :</t>
  </si>
  <si>
    <t>Seleccionar unidades de pressão :</t>
  </si>
  <si>
    <t>Caudal mín. exigido no sprinkler mais desfavorável :</t>
  </si>
  <si>
    <t>Pressão dinâmica no sprinkler mais desfavorável :</t>
  </si>
  <si>
    <t>Perda de carga dinâmica total :</t>
  </si>
  <si>
    <t>Perda de carga dinâmica nos ramais principais :</t>
  </si>
  <si>
    <t>Diâmetro interior médio da tubagem de aço :</t>
  </si>
  <si>
    <t>Necessidade de pressão - Abastecimento :</t>
  </si>
  <si>
    <t>Necessidade de caudal - Abastecimento :</t>
  </si>
  <si>
    <t>Diâmetro interior :</t>
  </si>
  <si>
    <t>Comprimento :</t>
  </si>
  <si>
    <t>Altura - aspiração :</t>
  </si>
  <si>
    <t>Perda carga total :</t>
  </si>
  <si>
    <r>
      <t>acum.</t>
    </r>
    <r>
      <rPr>
        <sz val="9"/>
        <color rgb="FFFFFFFF"/>
        <rFont val="Arial"/>
        <family val="2"/>
      </rPr>
      <t>dinâm.</t>
    </r>
  </si>
  <si>
    <r>
      <rPr>
        <sz val="8"/>
        <rFont val="Arial"/>
        <family val="2"/>
      </rPr>
      <t>Referências Bibliográficas:</t>
    </r>
    <r>
      <rPr>
        <sz val="9"/>
        <rFont val="Arial"/>
        <family val="2"/>
      </rPr>
      <t xml:space="preserve"> Lei n.º 123/2019 de 18 Out., Port.ª n.º 135/2020 de 2 Jun. que actualiza a Port.ª n.º 1532/2008 de 29 Dez., NFPA 13, N.T. n.º 16 ANEPC, Livro LNEC ISBN 972-49-1849-1 e Manual do Instalador APTA.</t>
    </r>
  </si>
  <si>
    <t>:Posição do troço crítico</t>
  </si>
  <si>
    <t>Pi</t>
  </si>
  <si>
    <t>P Inicial</t>
  </si>
  <si>
    <t>Confrmação de que os dados estão introduzidos na totalidade</t>
  </si>
  <si>
    <r>
      <t xml:space="preserve">Curvas da instalação </t>
    </r>
    <r>
      <rPr>
        <b/>
        <sz val="10"/>
        <color rgb="FFFF0000"/>
        <rFont val="Arial"/>
        <family val="2"/>
      </rPr>
      <t>mais críticas</t>
    </r>
    <r>
      <rPr>
        <sz val="10"/>
        <rFont val="Arial"/>
        <family val="2"/>
      </rPr>
      <t xml:space="preserve"> em pressão</t>
    </r>
  </si>
  <si>
    <r>
      <t>Curvas da instalação mais</t>
    </r>
    <r>
      <rPr>
        <b/>
        <sz val="10"/>
        <color rgb="FFFF0000"/>
        <rFont val="Arial"/>
        <family val="2"/>
      </rPr>
      <t xml:space="preserve"> críticas em caudal</t>
    </r>
  </si>
  <si>
    <r>
      <rPr>
        <b/>
        <sz val="14"/>
        <color theme="5" tint="-0.499984740745262"/>
        <rFont val="Arial"/>
        <family val="2"/>
      </rPr>
      <t xml:space="preserve"> Gráfico 1</t>
    </r>
    <r>
      <rPr>
        <i/>
        <sz val="11"/>
        <rFont val="Arial"/>
        <family val="2"/>
      </rPr>
      <t xml:space="preserve"> Curvas de densidade - Riscos </t>
    </r>
    <r>
      <rPr>
        <b/>
        <i/>
        <sz val="11"/>
        <rFont val="Arial"/>
        <family val="2"/>
      </rPr>
      <t>Ligeiros</t>
    </r>
    <r>
      <rPr>
        <i/>
        <sz val="11"/>
        <rFont val="Arial"/>
        <family val="2"/>
      </rPr>
      <t xml:space="preserve"> e </t>
    </r>
    <r>
      <rPr>
        <b/>
        <i/>
        <sz val="11"/>
        <rFont val="Arial"/>
        <family val="2"/>
      </rPr>
      <t>Ordinários</t>
    </r>
  </si>
  <si>
    <t>Razão</t>
  </si>
  <si>
    <t>Factor de correcção caudal intermédio (critério 1 proporcional)</t>
  </si>
  <si>
    <t>Factor de correcção caudal intermédio (critério 2 simples)</t>
  </si>
  <si>
    <t>Pressões</t>
  </si>
  <si>
    <r>
      <t>ΔP</t>
    </r>
    <r>
      <rPr>
        <vertAlign val="subscript"/>
        <sz val="11"/>
        <rFont val="Arial"/>
        <family val="2"/>
      </rPr>
      <t>dinâm.</t>
    </r>
  </si>
  <si>
    <r>
      <t>ΔP</t>
    </r>
    <r>
      <rPr>
        <vertAlign val="subscript"/>
        <sz val="11"/>
        <rFont val="Arial"/>
        <family val="2"/>
      </rPr>
      <t>estática</t>
    </r>
  </si>
  <si>
    <t>estática</t>
  </si>
  <si>
    <t>7.4</t>
  </si>
  <si>
    <r>
      <t xml:space="preserve">Calcular a perda de carga dinâmica ( </t>
    </r>
    <r>
      <rPr>
        <b/>
        <sz val="9"/>
        <rFont val="Arial"/>
        <family val="2"/>
      </rPr>
      <t>ΔP</t>
    </r>
    <r>
      <rPr>
        <b/>
        <vertAlign val="subscript"/>
        <sz val="12"/>
        <rFont val="Arial"/>
        <family val="2"/>
      </rPr>
      <t>dinâm.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) de cada troço:</t>
    </r>
  </si>
  <si>
    <r>
      <t xml:space="preserve">Calcular a perda de carga estática ( </t>
    </r>
    <r>
      <rPr>
        <b/>
        <sz val="9"/>
        <rFont val="Arial"/>
        <family val="2"/>
      </rPr>
      <t>ΔP</t>
    </r>
    <r>
      <rPr>
        <b/>
        <vertAlign val="subscript"/>
        <sz val="12"/>
        <rFont val="Arial"/>
        <family val="2"/>
      </rPr>
      <t>estática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) de cada troço:</t>
    </r>
  </si>
  <si>
    <t>Perda de carga estática no troço</t>
  </si>
  <si>
    <r>
      <t>A pressão final de um troço (</t>
    </r>
    <r>
      <rPr>
        <b/>
        <sz val="9"/>
        <rFont val="Arial"/>
        <family val="2"/>
      </rPr>
      <t>P</t>
    </r>
    <r>
      <rPr>
        <b/>
        <vertAlign val="subscript"/>
        <sz val="11"/>
        <rFont val="Arial"/>
        <family val="2"/>
      </rPr>
      <t>f</t>
    </r>
    <r>
      <rPr>
        <sz val="9"/>
        <rFont val="Arial"/>
        <family val="2"/>
      </rPr>
      <t>),  traduz a perda de carga dinâmica nesse troço, acrescida da respectiva perda de carga estática devida ao desnível do mesmo (caso exista).</t>
    </r>
  </si>
  <si>
    <r>
      <t>a) A pressão final (</t>
    </r>
    <r>
      <rPr>
        <b/>
        <sz val="9"/>
        <rFont val="Arial"/>
        <family val="2"/>
      </rPr>
      <t>P</t>
    </r>
    <r>
      <rPr>
        <b/>
        <vertAlign val="subscript"/>
        <sz val="11"/>
        <rFont val="Arial"/>
        <family val="2"/>
      </rPr>
      <t>f</t>
    </r>
    <r>
      <rPr>
        <sz val="9"/>
        <rFont val="Arial"/>
        <family val="2"/>
      </rPr>
      <t>) de um qualquer troço, deverá ser a Pressão Inicial (</t>
    </r>
    <r>
      <rPr>
        <b/>
        <sz val="9"/>
        <rFont val="Arial"/>
        <family val="2"/>
      </rPr>
      <t>P</t>
    </r>
    <r>
      <rPr>
        <b/>
        <vertAlign val="subscript"/>
        <sz val="11"/>
        <rFont val="Arial"/>
        <family val="2"/>
      </rPr>
      <t>i</t>
    </r>
    <r>
      <rPr>
        <sz val="9"/>
        <rFont val="Arial"/>
        <family val="2"/>
      </rPr>
      <t>) do(s) troço(s) situado(s) a jusante.</t>
    </r>
  </si>
  <si>
    <r>
      <t>b) A pressão inicial (</t>
    </r>
    <r>
      <rPr>
        <b/>
        <sz val="9"/>
        <rFont val="Arial"/>
        <family val="2"/>
      </rPr>
      <t>P</t>
    </r>
    <r>
      <rPr>
        <b/>
        <vertAlign val="subscript"/>
        <sz val="11"/>
        <rFont val="Arial"/>
        <family val="2"/>
      </rPr>
      <t>i</t>
    </r>
    <r>
      <rPr>
        <sz val="9"/>
        <rFont val="Arial"/>
        <family val="2"/>
      </rPr>
      <t>) de um qualquer troço, deverá ser a pressão final (</t>
    </r>
    <r>
      <rPr>
        <b/>
        <sz val="9"/>
        <rFont val="Arial"/>
        <family val="2"/>
      </rPr>
      <t>P</t>
    </r>
    <r>
      <rPr>
        <b/>
        <vertAlign val="subscript"/>
        <sz val="11"/>
        <rFont val="Arial"/>
        <family val="2"/>
      </rPr>
      <t>f</t>
    </r>
    <r>
      <rPr>
        <sz val="9"/>
        <rFont val="Arial"/>
        <family val="2"/>
      </rPr>
      <t>) de um troço situado a montante.</t>
    </r>
  </si>
  <si>
    <r>
      <t xml:space="preserve">c) Relacionar </t>
    </r>
    <r>
      <rPr>
        <b/>
        <sz val="9"/>
        <rFont val="Arial"/>
        <family val="2"/>
      </rPr>
      <t>P</t>
    </r>
    <r>
      <rPr>
        <b/>
        <vertAlign val="subscript"/>
        <sz val="11"/>
        <rFont val="Arial"/>
        <family val="2"/>
      </rPr>
      <t>i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com</t>
    </r>
    <r>
      <rPr>
        <b/>
        <sz val="9"/>
        <rFont val="Arial"/>
        <family val="2"/>
      </rPr>
      <t xml:space="preserve"> P</t>
    </r>
    <r>
      <rPr>
        <b/>
        <vertAlign val="subscript"/>
        <sz val="11"/>
        <rFont val="Arial"/>
        <family val="2"/>
      </rPr>
      <t>f</t>
    </r>
    <r>
      <rPr>
        <sz val="9"/>
        <rFont val="Arial"/>
        <family val="2"/>
      </rPr>
      <t xml:space="preserve"> através das Fórmulas de Flamant ou Hazen &amp; Williams, ao critério do projectista. E tendo em consideração a  respectiva perda de carga estática (caso exista). </t>
    </r>
  </si>
  <si>
    <r>
      <t>A relação entre as pressões inicial (</t>
    </r>
    <r>
      <rPr>
        <b/>
        <sz val="9"/>
        <rFont val="Arial"/>
        <family val="2"/>
      </rPr>
      <t>P</t>
    </r>
    <r>
      <rPr>
        <b/>
        <vertAlign val="subscript"/>
        <sz val="12"/>
        <rFont val="Arial"/>
        <family val="2"/>
      </rPr>
      <t>i</t>
    </r>
    <r>
      <rPr>
        <sz val="9"/>
        <rFont val="Arial"/>
        <family val="2"/>
      </rPr>
      <t>) e final (</t>
    </r>
    <r>
      <rPr>
        <b/>
        <sz val="9"/>
        <rFont val="Arial"/>
        <family val="2"/>
      </rPr>
      <t>P</t>
    </r>
    <r>
      <rPr>
        <b/>
        <vertAlign val="subscript"/>
        <sz val="12"/>
        <rFont val="Arial"/>
        <family val="2"/>
      </rPr>
      <t>f</t>
    </r>
    <r>
      <rPr>
        <sz val="9"/>
        <rFont val="Arial"/>
        <family val="2"/>
      </rPr>
      <t xml:space="preserve">) de um determinado troço, são estabelecidas através do cálculo da perda de carga linear unitária pela fórmula de Hazen &amp; Williams (ou Flamant). E tendo em consideração a  respectiva perda de carga estática (caso exista). </t>
    </r>
  </si>
  <si>
    <r>
      <t>a1) a jusante não existe qualquer outro sprinkler de funcionamento simultãneo, adoptar: Q</t>
    </r>
    <r>
      <rPr>
        <vertAlign val="subscript"/>
        <sz val="9"/>
        <rFont val="Arial"/>
        <family val="2"/>
      </rPr>
      <t>troço</t>
    </r>
    <r>
      <rPr>
        <sz val="9"/>
        <rFont val="Arial"/>
        <family val="2"/>
      </rPr>
      <t xml:space="preserve"> = Q</t>
    </r>
    <r>
      <rPr>
        <vertAlign val="subscript"/>
        <sz val="9"/>
        <rFont val="Arial"/>
        <family val="2"/>
      </rPr>
      <t>mín.S.</t>
    </r>
  </si>
  <si>
    <r>
      <t xml:space="preserve">Calcular a perda de carga total ( </t>
    </r>
    <r>
      <rPr>
        <b/>
        <sz val="9"/>
        <rFont val="Arial"/>
        <family val="2"/>
      </rPr>
      <t>ΔP</t>
    </r>
    <r>
      <rPr>
        <vertAlign val="subscript"/>
        <sz val="12"/>
        <rFont val="Arial"/>
        <family val="2"/>
      </rPr>
      <t>troço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) de cada troço:</t>
    </r>
  </si>
  <si>
    <r>
      <t>ΔP</t>
    </r>
    <r>
      <rPr>
        <vertAlign val="subscript"/>
        <sz val="12"/>
        <rFont val="Arial"/>
        <family val="2"/>
      </rPr>
      <t>troço</t>
    </r>
  </si>
  <si>
    <r>
      <t xml:space="preserve">Análise das Perdas de Carga - </t>
    </r>
    <r>
      <rPr>
        <sz val="11"/>
        <color indexed="9"/>
        <rFont val="Symbol"/>
        <family val="1"/>
        <charset val="2"/>
      </rPr>
      <t>D</t>
    </r>
    <r>
      <rPr>
        <sz val="11"/>
        <color indexed="9"/>
        <rFont val="Arial"/>
        <family val="2"/>
      </rPr>
      <t>P</t>
    </r>
  </si>
  <si>
    <t>Análise da Velocidade</t>
  </si>
  <si>
    <t>Aço S235</t>
  </si>
  <si>
    <t>equivalente</t>
  </si>
  <si>
    <t>localizado</t>
  </si>
  <si>
    <r>
      <t>NS</t>
    </r>
    <r>
      <rPr>
        <vertAlign val="subscript"/>
        <sz val="12"/>
        <rFont val="Arial"/>
        <family val="2"/>
      </rPr>
      <t>sim.troço</t>
    </r>
  </si>
  <si>
    <r>
      <t>A</t>
    </r>
    <r>
      <rPr>
        <vertAlign val="subscript"/>
        <sz val="12"/>
        <rFont val="Arial"/>
        <family val="2"/>
      </rPr>
      <t>s</t>
    </r>
  </si>
  <si>
    <r>
      <t>NS</t>
    </r>
    <r>
      <rPr>
        <vertAlign val="subscript"/>
        <sz val="12"/>
        <rFont val="Arial"/>
        <family val="2"/>
      </rPr>
      <t>sim.</t>
    </r>
  </si>
  <si>
    <r>
      <t>q</t>
    </r>
    <r>
      <rPr>
        <vertAlign val="subscript"/>
        <sz val="12"/>
        <rFont val="Arial"/>
        <family val="2"/>
      </rPr>
      <t>unit.</t>
    </r>
  </si>
  <si>
    <r>
      <t>J</t>
    </r>
    <r>
      <rPr>
        <vertAlign val="subscript"/>
        <sz val="12"/>
        <rFont val="Arial"/>
        <family val="2"/>
      </rPr>
      <t>%</t>
    </r>
  </si>
  <si>
    <r>
      <rPr>
        <sz val="11"/>
        <rFont val="Arial"/>
        <family val="2"/>
      </rPr>
      <t>P</t>
    </r>
    <r>
      <rPr>
        <vertAlign val="subscript"/>
        <sz val="12"/>
        <rFont val="Arial"/>
        <family val="2"/>
      </rPr>
      <t>i</t>
    </r>
  </si>
  <si>
    <r>
      <rPr>
        <sz val="11"/>
        <rFont val="Arial"/>
        <family val="2"/>
      </rPr>
      <t>P</t>
    </r>
    <r>
      <rPr>
        <vertAlign val="subscript"/>
        <sz val="12"/>
        <rFont val="Arial"/>
        <family val="2"/>
      </rPr>
      <t>f</t>
    </r>
  </si>
  <si>
    <r>
      <rPr>
        <sz val="11"/>
        <rFont val="Arial"/>
        <family val="2"/>
      </rPr>
      <t>ΔP</t>
    </r>
    <r>
      <rPr>
        <vertAlign val="subscript"/>
        <sz val="11"/>
        <rFont val="Arial"/>
        <family val="2"/>
      </rPr>
      <t>estática</t>
    </r>
  </si>
  <si>
    <r>
      <rPr>
        <sz val="11"/>
        <rFont val="Arial"/>
        <family val="2"/>
      </rPr>
      <t>ΔP</t>
    </r>
    <r>
      <rPr>
        <vertAlign val="subscript"/>
        <sz val="11"/>
        <rFont val="Arial"/>
        <family val="2"/>
      </rPr>
      <t>troço</t>
    </r>
  </si>
  <si>
    <r>
      <rPr>
        <sz val="11"/>
        <rFont val="Arial"/>
        <family val="2"/>
      </rPr>
      <t>D</t>
    </r>
    <r>
      <rPr>
        <vertAlign val="subscript"/>
        <sz val="12"/>
        <rFont val="Arial"/>
        <family val="2"/>
      </rPr>
      <t>i</t>
    </r>
  </si>
  <si>
    <r>
      <rPr>
        <sz val="11"/>
        <rFont val="Arial"/>
        <family val="2"/>
      </rPr>
      <t>NS</t>
    </r>
    <r>
      <rPr>
        <vertAlign val="subscript"/>
        <sz val="12"/>
        <rFont val="Arial"/>
        <family val="2"/>
      </rPr>
      <t>troço</t>
    </r>
  </si>
  <si>
    <r>
      <rPr>
        <sz val="11"/>
        <rFont val="Arial"/>
        <family val="2"/>
      </rPr>
      <t>L</t>
    </r>
    <r>
      <rPr>
        <vertAlign val="subscript"/>
        <sz val="12"/>
        <rFont val="Arial"/>
        <family val="2"/>
      </rPr>
      <t>real</t>
    </r>
  </si>
  <si>
    <r>
      <rPr>
        <sz val="11"/>
        <rFont val="Arial"/>
        <family val="2"/>
      </rPr>
      <t>h</t>
    </r>
    <r>
      <rPr>
        <vertAlign val="superscript"/>
        <sz val="10"/>
        <rFont val="Arial"/>
        <family val="2"/>
      </rPr>
      <t>1)</t>
    </r>
  </si>
  <si>
    <r>
      <rPr>
        <sz val="11"/>
        <rFont val="Arial"/>
        <family val="2"/>
      </rPr>
      <t>L</t>
    </r>
    <r>
      <rPr>
        <vertAlign val="subscript"/>
        <sz val="12"/>
        <rFont val="Arial"/>
        <family val="2"/>
      </rPr>
      <t>eq. local</t>
    </r>
  </si>
  <si>
    <r>
      <rPr>
        <sz val="11"/>
        <rFont val="Arial"/>
        <family val="2"/>
      </rPr>
      <t>L</t>
    </r>
    <r>
      <rPr>
        <vertAlign val="subscript"/>
        <sz val="12"/>
        <rFont val="Arial"/>
        <family val="2"/>
      </rPr>
      <t>eq.</t>
    </r>
  </si>
  <si>
    <r>
      <rPr>
        <sz val="11"/>
        <rFont val="Arial"/>
        <family val="2"/>
      </rPr>
      <t>K</t>
    </r>
    <r>
      <rPr>
        <vertAlign val="subscript"/>
        <sz val="12"/>
        <rFont val="Arial"/>
        <family val="2"/>
      </rPr>
      <t>métrico</t>
    </r>
  </si>
  <si>
    <r>
      <rPr>
        <sz val="11"/>
        <rFont val="Arial"/>
        <family val="2"/>
      </rPr>
      <t>Q</t>
    </r>
    <r>
      <rPr>
        <vertAlign val="subscript"/>
        <sz val="12"/>
        <rFont val="Arial"/>
        <family val="2"/>
      </rPr>
      <t>S/</t>
    </r>
    <r>
      <rPr>
        <vertAlign val="subscript"/>
        <sz val="10"/>
        <rFont val="Arial"/>
        <family val="2"/>
      </rPr>
      <t>sub-ramal</t>
    </r>
  </si>
  <si>
    <r>
      <rPr>
        <sz val="11"/>
        <rFont val="Arial"/>
        <family val="2"/>
      </rPr>
      <t>Q</t>
    </r>
    <r>
      <rPr>
        <vertAlign val="subscript"/>
        <sz val="12"/>
        <rFont val="Arial"/>
        <family val="2"/>
      </rPr>
      <t>troço</t>
    </r>
  </si>
  <si>
    <r>
      <t>NS</t>
    </r>
    <r>
      <rPr>
        <vertAlign val="subscript"/>
        <sz val="12"/>
        <rFont val="Arial"/>
        <family val="2"/>
      </rPr>
      <t>sim.</t>
    </r>
    <r>
      <rPr>
        <vertAlign val="subscript"/>
        <sz val="10"/>
        <rFont val="Arial"/>
        <family val="2"/>
      </rPr>
      <t xml:space="preserve"> </t>
    </r>
    <r>
      <rPr>
        <sz val="10"/>
        <rFont val="Arial"/>
        <family val="2"/>
      </rPr>
      <t>=</t>
    </r>
  </si>
  <si>
    <r>
      <t>NS</t>
    </r>
    <r>
      <rPr>
        <vertAlign val="subscript"/>
        <sz val="12"/>
        <rFont val="Arial"/>
        <family val="2"/>
      </rPr>
      <t>sim./s.r.</t>
    </r>
    <r>
      <rPr>
        <sz val="10"/>
        <rFont val="Arial"/>
        <family val="2"/>
      </rPr>
      <t>=</t>
    </r>
  </si>
  <si>
    <r>
      <t>Q</t>
    </r>
    <r>
      <rPr>
        <vertAlign val="subscript"/>
        <sz val="12"/>
        <rFont val="Arial"/>
        <family val="2"/>
      </rPr>
      <t>mín.S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</si>
  <si>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2"/>
        <rFont val="Arial"/>
        <family val="2"/>
      </rPr>
      <t>mín.S</t>
    </r>
    <r>
      <rPr>
        <sz val="10"/>
        <rFont val="Arial"/>
        <family val="2"/>
      </rPr>
      <t xml:space="preserve"> =</t>
    </r>
  </si>
  <si>
    <r>
      <t>L</t>
    </r>
    <r>
      <rPr>
        <vertAlign val="subscript"/>
        <sz val="12"/>
        <rFont val="Arial"/>
        <family val="2"/>
      </rPr>
      <t>crítico</t>
    </r>
    <r>
      <rPr>
        <sz val="10"/>
        <rFont val="Arial"/>
        <family val="2"/>
      </rPr>
      <t xml:space="preserve"> =</t>
    </r>
  </si>
  <si>
    <r>
      <t>ΔP</t>
    </r>
    <r>
      <rPr>
        <vertAlign val="subscript"/>
        <sz val="10"/>
        <rFont val="Arial"/>
        <family val="2"/>
      </rPr>
      <t>acum.total</t>
    </r>
    <r>
      <rPr>
        <vertAlign val="subscript"/>
        <sz val="9"/>
        <rFont val="Arial"/>
        <family val="2"/>
      </rPr>
      <t xml:space="preserve"> </t>
    </r>
    <r>
      <rPr>
        <sz val="9"/>
        <rFont val="Arial"/>
        <family val="2"/>
      </rPr>
      <t>=</t>
    </r>
  </si>
  <si>
    <r>
      <t>ΔP</t>
    </r>
    <r>
      <rPr>
        <vertAlign val="subscript"/>
        <sz val="10"/>
        <rFont val="Arial"/>
        <family val="2"/>
      </rPr>
      <t>acum.R.P.</t>
    </r>
    <r>
      <rPr>
        <sz val="9"/>
        <rFont val="Arial"/>
        <family val="2"/>
      </rPr>
      <t xml:space="preserve"> =</t>
    </r>
  </si>
  <si>
    <r>
      <t>D</t>
    </r>
    <r>
      <rPr>
        <vertAlign val="subscript"/>
        <sz val="12"/>
        <rFont val="Arial"/>
        <family val="2"/>
      </rPr>
      <t>i médio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</si>
  <si>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2"/>
        <rFont val="Arial"/>
        <family val="2"/>
      </rPr>
      <t>i máx.</t>
    </r>
    <r>
      <rPr>
        <sz val="10"/>
        <rFont val="Arial"/>
        <family val="2"/>
      </rPr>
      <t xml:space="preserve"> =</t>
    </r>
  </si>
  <si>
    <r>
      <t>Q</t>
    </r>
    <r>
      <rPr>
        <vertAlign val="subscript"/>
        <sz val="10"/>
        <rFont val="Arial"/>
        <family val="2"/>
      </rPr>
      <t xml:space="preserve"> </t>
    </r>
    <r>
      <rPr>
        <vertAlign val="subscript"/>
        <sz val="12"/>
        <rFont val="Arial"/>
        <family val="2"/>
      </rPr>
      <t>máx.</t>
    </r>
    <r>
      <rPr>
        <sz val="10"/>
        <rFont val="Arial"/>
        <family val="2"/>
      </rPr>
      <t xml:space="preserve"> =</t>
    </r>
  </si>
  <si>
    <r>
      <t>D</t>
    </r>
    <r>
      <rPr>
        <vertAlign val="subscript"/>
        <sz val="12"/>
        <rFont val="Arial"/>
        <family val="2"/>
      </rPr>
      <t>i-asp.</t>
    </r>
    <r>
      <rPr>
        <sz val="10"/>
        <rFont val="Arial"/>
        <family val="2"/>
      </rPr>
      <t>=</t>
    </r>
  </si>
  <si>
    <r>
      <t>L</t>
    </r>
    <r>
      <rPr>
        <vertAlign val="subscript"/>
        <sz val="12"/>
        <rFont val="Arial"/>
        <family val="2"/>
      </rPr>
      <t>real-asp</t>
    </r>
    <r>
      <rPr>
        <vertAlign val="subscript"/>
        <sz val="11"/>
        <rFont val="Arial"/>
        <family val="2"/>
      </rPr>
      <t>.</t>
    </r>
    <r>
      <rPr>
        <sz val="10"/>
        <rFont val="Arial"/>
        <family val="2"/>
      </rPr>
      <t>=</t>
    </r>
  </si>
  <si>
    <r>
      <t>L</t>
    </r>
    <r>
      <rPr>
        <vertAlign val="subscript"/>
        <sz val="12"/>
        <rFont val="Arial"/>
        <family val="2"/>
      </rPr>
      <t>local-asp.</t>
    </r>
    <r>
      <rPr>
        <sz val="10"/>
        <rFont val="Arial"/>
        <family val="2"/>
      </rPr>
      <t>=</t>
    </r>
  </si>
  <si>
    <r>
      <rPr>
        <sz val="11"/>
        <rFont val="Arial"/>
        <family val="2"/>
      </rPr>
      <t>h</t>
    </r>
    <r>
      <rPr>
        <vertAlign val="subscript"/>
        <sz val="12"/>
        <rFont val="Arial"/>
        <family val="2"/>
      </rPr>
      <t>asp.</t>
    </r>
    <r>
      <rPr>
        <vertAlign val="superscript"/>
        <sz val="9"/>
        <rFont val="Arial"/>
        <family val="2"/>
      </rPr>
      <t>1)</t>
    </r>
    <r>
      <rPr>
        <sz val="10"/>
        <rFont val="Arial"/>
        <family val="2"/>
      </rPr>
      <t xml:space="preserve"> =</t>
    </r>
  </si>
  <si>
    <r>
      <rPr>
        <sz val="11"/>
        <rFont val="Arial"/>
        <family val="2"/>
      </rPr>
      <t>L</t>
    </r>
    <r>
      <rPr>
        <vertAlign val="subscript"/>
        <sz val="12"/>
        <rFont val="Arial"/>
        <family val="2"/>
      </rPr>
      <t>eq.-asp.</t>
    </r>
    <r>
      <rPr>
        <sz val="10"/>
        <rFont val="Arial"/>
        <family val="2"/>
      </rPr>
      <t>=</t>
    </r>
  </si>
  <si>
    <r>
      <t>ΔP</t>
    </r>
    <r>
      <rPr>
        <vertAlign val="subscript"/>
        <sz val="12"/>
        <rFont val="Arial"/>
        <family val="2"/>
      </rPr>
      <t>total-asp.</t>
    </r>
    <r>
      <rPr>
        <sz val="10"/>
        <rFont val="Arial"/>
        <family val="2"/>
      </rPr>
      <t>=</t>
    </r>
  </si>
  <si>
    <r>
      <t>D</t>
    </r>
    <r>
      <rPr>
        <vertAlign val="subscript"/>
        <sz val="12"/>
        <rFont val="Arial"/>
        <family val="2"/>
      </rPr>
      <t>i</t>
    </r>
    <r>
      <rPr>
        <vertAlign val="subscript"/>
        <sz val="11"/>
        <rFont val="Arial"/>
        <family val="2"/>
      </rPr>
      <t xml:space="preserve"> imposto</t>
    </r>
  </si>
  <si>
    <r>
      <rPr>
        <sz val="10"/>
        <rFont val="Arial"/>
        <family val="2"/>
      </rPr>
      <t>ΔP</t>
    </r>
    <r>
      <rPr>
        <vertAlign val="subscript"/>
        <sz val="11"/>
        <rFont val="Arial"/>
        <family val="2"/>
      </rPr>
      <t>acum.R.P.</t>
    </r>
    <r>
      <rPr>
        <vertAlign val="subscript"/>
        <sz val="9"/>
        <rFont val="Arial"/>
        <family val="2"/>
      </rPr>
      <t xml:space="preserve"> </t>
    </r>
    <r>
      <rPr>
        <sz val="9"/>
        <rFont val="Arial"/>
        <family val="2"/>
      </rPr>
      <t>≤</t>
    </r>
  </si>
  <si>
    <r>
      <t>ΔP</t>
    </r>
    <r>
      <rPr>
        <vertAlign val="subscript"/>
        <sz val="11"/>
        <rFont val="Arial"/>
        <family val="2"/>
      </rPr>
      <t>acum.ad.</t>
    </r>
  </si>
  <si>
    <r>
      <t>Pot</t>
    </r>
    <r>
      <rPr>
        <vertAlign val="subscript"/>
        <sz val="11"/>
        <rFont val="Arial"/>
        <family val="2"/>
      </rPr>
      <t xml:space="preserve"> </t>
    </r>
    <r>
      <rPr>
        <vertAlign val="subscript"/>
        <sz val="12"/>
        <rFont val="Arial"/>
        <family val="2"/>
      </rPr>
      <t>mín</t>
    </r>
    <r>
      <rPr>
        <vertAlign val="subscript"/>
        <sz val="11"/>
        <rFont val="Arial"/>
        <family val="2"/>
      </rPr>
      <t>.</t>
    </r>
    <r>
      <rPr>
        <sz val="10"/>
        <rFont val="Arial"/>
        <family val="2"/>
      </rPr>
      <t xml:space="preserve"> =</t>
    </r>
  </si>
  <si>
    <t>Comp. equiv. local :</t>
  </si>
  <si>
    <t>Comp. equiv. total :</t>
  </si>
  <si>
    <t>R / NPS</t>
  </si>
  <si>
    <r>
      <t>ΔP</t>
    </r>
    <r>
      <rPr>
        <vertAlign val="subscript"/>
        <sz val="11"/>
        <rFont val="Arial"/>
        <family val="2"/>
      </rPr>
      <t>dinâmica</t>
    </r>
  </si>
  <si>
    <r>
      <t>NPSH</t>
    </r>
    <r>
      <rPr>
        <vertAlign val="subscript"/>
        <sz val="12"/>
        <rFont val="Arial"/>
        <family val="2"/>
      </rPr>
      <t>admissível</t>
    </r>
    <r>
      <rPr>
        <sz val="10"/>
        <rFont val="Arial"/>
        <family val="2"/>
      </rPr>
      <t xml:space="preserve"> (cs=0,5m) =</t>
    </r>
  </si>
  <si>
    <r>
      <t>Vol.</t>
    </r>
    <r>
      <rPr>
        <vertAlign val="subscript"/>
        <sz val="12"/>
        <rFont val="Arial"/>
        <family val="2"/>
      </rPr>
      <t>reserv.</t>
    </r>
    <r>
      <rPr>
        <sz val="10"/>
        <rFont val="Arial"/>
        <family val="2"/>
      </rPr>
      <t>=</t>
    </r>
  </si>
  <si>
    <r>
      <t xml:space="preserve">Curvas da instalação </t>
    </r>
    <r>
      <rPr>
        <sz val="11"/>
        <color rgb="FFC00000"/>
        <rFont val="Calibri"/>
        <family val="2"/>
      </rPr>
      <t>mais críticas</t>
    </r>
    <r>
      <rPr>
        <sz val="11"/>
        <rFont val="Calibri"/>
        <family val="2"/>
      </rPr>
      <t xml:space="preserve"> em pressão</t>
    </r>
  </si>
  <si>
    <r>
      <t xml:space="preserve">Curvas da instalação </t>
    </r>
    <r>
      <rPr>
        <sz val="11"/>
        <color rgb="FF00B050"/>
        <rFont val="Calibri"/>
        <family val="2"/>
      </rPr>
      <t>menos críticas</t>
    </r>
    <r>
      <rPr>
        <sz val="11"/>
        <rFont val="Calibri"/>
        <family val="2"/>
      </rPr>
      <t xml:space="preserve"> em pressão</t>
    </r>
  </si>
  <si>
    <r>
      <rPr>
        <b/>
        <sz val="9"/>
        <rFont val="Arial"/>
        <family val="2"/>
      </rPr>
      <t>P</t>
    </r>
    <r>
      <rPr>
        <b/>
        <vertAlign val="subscript"/>
        <sz val="9"/>
        <rFont val="Arial"/>
        <family val="2"/>
      </rPr>
      <t>mín.S</t>
    </r>
    <r>
      <rPr>
        <b/>
        <sz val="9"/>
        <rFont val="Arial"/>
        <family val="2"/>
      </rPr>
      <t xml:space="preserve"> = P</t>
    </r>
    <r>
      <rPr>
        <b/>
        <vertAlign val="subscript"/>
        <sz val="9"/>
        <rFont val="Arial"/>
        <family val="2"/>
      </rPr>
      <t>f</t>
    </r>
    <r>
      <rPr>
        <vertAlign val="subscript"/>
        <sz val="9"/>
        <rFont val="Arial"/>
        <family val="2"/>
      </rPr>
      <t xml:space="preserve">  </t>
    </r>
    <r>
      <rPr>
        <sz val="9"/>
        <rFont val="Arial"/>
        <family val="2"/>
      </rPr>
      <t>do 1º troço a dimensionar, o qual finaliza no sprinkler (</t>
    </r>
    <r>
      <rPr>
        <b/>
        <sz val="9"/>
        <rFont val="Arial"/>
        <family val="2"/>
      </rPr>
      <t>S1</t>
    </r>
    <r>
      <rPr>
        <sz val="9"/>
        <rFont val="Arial"/>
        <family val="2"/>
      </rPr>
      <t>) mais afastado da fonte de alimentação.</t>
    </r>
  </si>
  <si>
    <r>
      <t>ΔP</t>
    </r>
    <r>
      <rPr>
        <vertAlign val="subscript"/>
        <sz val="10"/>
        <rFont val="Arial"/>
        <family val="2"/>
      </rPr>
      <t>estática</t>
    </r>
  </si>
  <si>
    <r>
      <t>ΔP</t>
    </r>
    <r>
      <rPr>
        <vertAlign val="subscript"/>
        <sz val="10"/>
        <rFont val="Arial"/>
        <family val="2"/>
      </rPr>
      <t>dinâmica</t>
    </r>
  </si>
  <si>
    <r>
      <t>ΔP</t>
    </r>
    <r>
      <rPr>
        <vertAlign val="subscript"/>
        <sz val="10"/>
        <rFont val="Arial"/>
        <family val="2"/>
      </rPr>
      <t>troço</t>
    </r>
  </si>
  <si>
    <t>Classe e Grupo de Risco/Utilização Tipo :</t>
  </si>
  <si>
    <r>
      <rPr>
        <sz val="11"/>
        <color theme="1"/>
        <rFont val="Arial"/>
        <family val="2"/>
      </rPr>
      <t>ΔP</t>
    </r>
    <r>
      <rPr>
        <vertAlign val="subscript"/>
        <sz val="11"/>
        <color theme="1"/>
        <rFont val="Arial"/>
        <family val="2"/>
      </rPr>
      <t>acum</t>
    </r>
    <r>
      <rPr>
        <vertAlign val="subscript"/>
        <sz val="12"/>
        <color theme="1"/>
        <rFont val="Arial"/>
        <family val="2"/>
      </rPr>
      <t>.R.P.</t>
    </r>
  </si>
  <si>
    <t>Nº total máximo de sprinklers em func. simultâneo :</t>
  </si>
  <si>
    <t>Nº sprinklers em funcion.simultâneo por sub-ramal :</t>
  </si>
  <si>
    <r>
      <t>Afastamento</t>
    </r>
    <r>
      <rPr>
        <sz val="8"/>
        <rFont val="Arial"/>
        <family val="2"/>
      </rPr>
      <t xml:space="preserve"> </t>
    </r>
    <r>
      <rPr>
        <sz val="10"/>
        <rFont val="Arial"/>
        <family val="2"/>
      </rPr>
      <t>máx.</t>
    </r>
    <r>
      <rPr>
        <sz val="8"/>
        <rFont val="Arial"/>
        <family val="2"/>
      </rPr>
      <t xml:space="preserve"> </t>
    </r>
    <r>
      <rPr>
        <sz val="10"/>
        <rFont val="Arial"/>
        <family val="2"/>
      </rPr>
      <t>entre</t>
    </r>
    <r>
      <rPr>
        <sz val="8"/>
        <rFont val="Arial"/>
        <family val="2"/>
      </rPr>
      <t xml:space="preserve"> </t>
    </r>
    <r>
      <rPr>
        <sz val="10"/>
        <rFont val="Arial"/>
        <family val="2"/>
      </rPr>
      <t>sub-ramais</t>
    </r>
    <r>
      <rPr>
        <sz val="8"/>
        <rFont val="Arial"/>
        <family val="2"/>
      </rPr>
      <t xml:space="preserve"> </t>
    </r>
    <r>
      <rPr>
        <sz val="10"/>
        <rFont val="Arial"/>
        <family val="2"/>
      </rPr>
      <t>com</t>
    </r>
    <r>
      <rPr>
        <sz val="8"/>
        <rFont val="Arial"/>
        <family val="2"/>
      </rPr>
      <t xml:space="preserve"> </t>
    </r>
    <r>
      <rPr>
        <sz val="10"/>
        <rFont val="Arial"/>
        <family val="2"/>
      </rPr>
      <t>sprinklers :</t>
    </r>
  </si>
  <si>
    <r>
      <t>Nº</t>
    </r>
    <r>
      <rPr>
        <sz val="8"/>
        <rFont val="Arial"/>
        <family val="2"/>
      </rPr>
      <t xml:space="preserve"> </t>
    </r>
    <r>
      <rPr>
        <sz val="10"/>
        <rFont val="Arial"/>
        <family val="2"/>
      </rPr>
      <t>total</t>
    </r>
    <r>
      <rPr>
        <sz val="8"/>
        <rFont val="Arial"/>
        <family val="2"/>
      </rPr>
      <t xml:space="preserve"> </t>
    </r>
    <r>
      <rPr>
        <sz val="10"/>
        <rFont val="Arial"/>
        <family val="2"/>
      </rPr>
      <t>mín.sprinklers</t>
    </r>
    <r>
      <rPr>
        <sz val="8"/>
        <rFont val="Arial"/>
        <family val="2"/>
      </rPr>
      <t xml:space="preserve"> </t>
    </r>
    <r>
      <rPr>
        <sz val="10"/>
        <rFont val="Arial"/>
        <family val="2"/>
      </rPr>
      <t>em</t>
    </r>
    <r>
      <rPr>
        <sz val="8"/>
        <rFont val="Arial"/>
        <family val="2"/>
      </rPr>
      <t xml:space="preserve"> </t>
    </r>
    <r>
      <rPr>
        <sz val="10"/>
        <rFont val="Arial"/>
        <family val="2"/>
      </rPr>
      <t>func.simultâneo :</t>
    </r>
  </si>
  <si>
    <r>
      <t>Percentagem de afectação</t>
    </r>
    <r>
      <rPr>
        <sz val="8"/>
        <rFont val="Arial"/>
        <family val="2"/>
      </rPr>
      <t xml:space="preserve"> - </t>
    </r>
    <r>
      <rPr>
        <sz val="10"/>
        <rFont val="Arial"/>
        <family val="2"/>
      </rPr>
      <t>perdas de carga locais :</t>
    </r>
  </si>
  <si>
    <r>
      <t xml:space="preserve">Curva </t>
    </r>
    <r>
      <rPr>
        <sz val="9.5"/>
        <color rgb="FFC00000"/>
        <rFont val="Arial"/>
        <family val="2"/>
      </rPr>
      <t>mais crítica</t>
    </r>
  </si>
  <si>
    <r>
      <t xml:space="preserve">Curva </t>
    </r>
    <r>
      <rPr>
        <sz val="9.5"/>
        <color rgb="FFC00000"/>
        <rFont val="Arial"/>
        <family val="2"/>
      </rPr>
      <t>mais crítica</t>
    </r>
    <r>
      <rPr>
        <sz val="9.5"/>
        <rFont val="Arial"/>
        <family val="2"/>
      </rPr>
      <t xml:space="preserve"> (com 1 sprinkler em simultâneo)</t>
    </r>
  </si>
  <si>
    <r>
      <t xml:space="preserve">Curva </t>
    </r>
    <r>
      <rPr>
        <sz val="9"/>
        <color rgb="FF00B050"/>
        <rFont val="Arial"/>
        <family val="2"/>
      </rPr>
      <t>menos crítica</t>
    </r>
  </si>
  <si>
    <r>
      <t xml:space="preserve">Curva </t>
    </r>
    <r>
      <rPr>
        <sz val="9"/>
        <color rgb="FF00B050"/>
        <rFont val="Arial"/>
        <family val="2"/>
      </rPr>
      <t>menos crítica</t>
    </r>
    <r>
      <rPr>
        <sz val="9"/>
        <rFont val="Arial"/>
        <family val="2"/>
      </rPr>
      <t xml:space="preserve"> (com 1 sprinkler em simultâneo)</t>
    </r>
  </si>
  <si>
    <t>Nº Sub-ramais Simultâneos</t>
  </si>
  <si>
    <t>Nº Sub-ramais Simultâneos com caudal calculado directamente</t>
  </si>
  <si>
    <t>Factor de caudal</t>
  </si>
  <si>
    <t>Identificação dos troços tipo "ss1"</t>
  </si>
  <si>
    <t>ou seja, com Sprinklers e do Sub-Ramal 1</t>
  </si>
  <si>
    <t>Situação de Bifurcação que alimenta todos os sub-ramais simultâneos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</si>
</sst>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00"/>
    <numFmt numFmtId="165" formatCode="0.0"/>
    <numFmt numFmtId="166" formatCode="0.0000"/>
    <numFmt numFmtId="167" formatCode="0.00000"/>
    <numFmt numFmtId="168" formatCode="0.000000"/>
    <numFmt numFmtId="169" formatCode="\(0\)"/>
    <numFmt numFmtId="170" formatCode="\K\ \=\ 0"/>
    <numFmt numFmtId="171" formatCode="&quot;m -&quot;\ #\ ?/?"/>
    <numFmt numFmtId="172" formatCode="#,##0.0"/>
    <numFmt numFmtId="173" formatCode="#\ &quot;min&quot;"/>
    <numFmt numFmtId="174" formatCode="[&lt;100]0.0;0"/>
  </numFmts>
  <fonts count="13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10"/>
      <color indexed="10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0"/>
      <color indexed="9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b/>
      <sz val="9"/>
      <color indexed="10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9"/>
      <color indexed="9"/>
      <name val="Arial"/>
      <family val="2"/>
    </font>
    <font>
      <b/>
      <sz val="10"/>
      <color indexed="12"/>
      <name val="Arial"/>
      <family val="2"/>
    </font>
    <font>
      <b/>
      <vertAlign val="subscript"/>
      <sz val="12"/>
      <name val="Arial"/>
      <family val="2"/>
    </font>
    <font>
      <b/>
      <vertAlign val="subscript"/>
      <sz val="10"/>
      <name val="Arial"/>
      <family val="2"/>
    </font>
    <font>
      <b/>
      <vertAlign val="subscript"/>
      <sz val="9"/>
      <name val="Arial"/>
      <family val="2"/>
    </font>
    <font>
      <sz val="10"/>
      <color indexed="9"/>
      <name val="Arial"/>
      <family val="2"/>
    </font>
    <font>
      <sz val="8"/>
      <color indexed="9"/>
      <name val="Times New Roman"/>
      <family val="1"/>
    </font>
    <font>
      <vertAlign val="superscript"/>
      <sz val="10"/>
      <name val="Arial"/>
      <family val="2"/>
    </font>
    <font>
      <vertAlign val="subscript"/>
      <sz val="10"/>
      <name val="Arial"/>
      <family val="2"/>
    </font>
    <font>
      <b/>
      <vertAlign val="superscript"/>
      <sz val="10"/>
      <name val="Arial"/>
      <family val="2"/>
    </font>
    <font>
      <b/>
      <sz val="8"/>
      <color indexed="12"/>
      <name val="Arial"/>
      <family val="2"/>
    </font>
    <font>
      <sz val="11"/>
      <color indexed="9"/>
      <name val="Arial"/>
      <family val="2"/>
    </font>
    <font>
      <b/>
      <vertAlign val="subscript"/>
      <sz val="11"/>
      <name val="Arial"/>
      <family val="2"/>
    </font>
    <font>
      <sz val="8"/>
      <name val="Arial"/>
      <family val="2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color indexed="10"/>
      <name val="Arial"/>
      <family val="2"/>
    </font>
    <font>
      <sz val="8"/>
      <color indexed="9"/>
      <name val="Arial"/>
      <family val="2"/>
    </font>
    <font>
      <vertAlign val="subscript"/>
      <sz val="9"/>
      <name val="Arial"/>
      <family val="2"/>
    </font>
    <font>
      <sz val="13"/>
      <color indexed="9"/>
      <name val="Arial"/>
      <family val="2"/>
    </font>
    <font>
      <sz val="15"/>
      <color indexed="9"/>
      <name val="Arial"/>
      <family val="2"/>
    </font>
    <font>
      <b/>
      <sz val="14"/>
      <color indexed="16"/>
      <name val="Arial"/>
      <family val="2"/>
    </font>
    <font>
      <sz val="10"/>
      <color indexed="16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vertAlign val="superscript"/>
      <sz val="10"/>
      <color indexed="81"/>
      <name val="Tahoma"/>
      <family val="2"/>
    </font>
    <font>
      <sz val="10"/>
      <color indexed="81"/>
      <name val="Tahoma"/>
      <family val="2"/>
    </font>
    <font>
      <b/>
      <i/>
      <sz val="9"/>
      <color indexed="81"/>
      <name val="Tahoma"/>
      <family val="2"/>
    </font>
    <font>
      <sz val="10"/>
      <color indexed="18"/>
      <name val="Arial"/>
      <family val="2"/>
    </font>
    <font>
      <sz val="10"/>
      <color indexed="81"/>
      <name val="Arial"/>
      <family val="2"/>
    </font>
    <font>
      <b/>
      <sz val="10"/>
      <color indexed="81"/>
      <name val="Arial"/>
      <family val="2"/>
    </font>
    <font>
      <sz val="9"/>
      <color indexed="18"/>
      <name val="Arial"/>
      <family val="2"/>
    </font>
    <font>
      <vertAlign val="subscript"/>
      <sz val="12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b/>
      <sz val="12"/>
      <color indexed="10"/>
      <name val="Arial"/>
      <family val="2"/>
    </font>
    <font>
      <b/>
      <sz val="11"/>
      <color indexed="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2"/>
      <color indexed="9"/>
      <name val="Arial"/>
      <family val="2"/>
    </font>
    <font>
      <b/>
      <sz val="16"/>
      <color indexed="8"/>
      <name val="Arial"/>
      <family val="2"/>
    </font>
    <font>
      <vertAlign val="subscript"/>
      <sz val="8"/>
      <name val="Arial"/>
      <family val="2"/>
    </font>
    <font>
      <sz val="9"/>
      <name val="Calibri"/>
      <family val="2"/>
    </font>
    <font>
      <vertAlign val="subscript"/>
      <sz val="11"/>
      <name val="Arial"/>
      <family val="2"/>
    </font>
    <font>
      <b/>
      <sz val="12"/>
      <color indexed="8"/>
      <name val="Arial"/>
      <family val="2"/>
    </font>
    <font>
      <i/>
      <sz val="9"/>
      <name val="Arial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sz val="9"/>
      <name val="Symbol"/>
      <family val="1"/>
      <charset val="2"/>
    </font>
    <font>
      <sz val="9"/>
      <color indexed="81"/>
      <name val="Arial"/>
      <family val="2"/>
    </font>
    <font>
      <b/>
      <sz val="9"/>
      <color indexed="81"/>
      <name val="Arial"/>
      <family val="2"/>
    </font>
    <font>
      <b/>
      <vertAlign val="superscript"/>
      <sz val="9"/>
      <color indexed="81"/>
      <name val="Arial"/>
      <family val="2"/>
    </font>
    <font>
      <sz val="10"/>
      <color indexed="9"/>
      <name val="Arial"/>
      <family val="2"/>
    </font>
    <font>
      <sz val="11"/>
      <color indexed="9"/>
      <name val="Arial"/>
      <family val="2"/>
    </font>
    <font>
      <sz val="11"/>
      <color indexed="9"/>
      <name val="Symbol"/>
      <family val="1"/>
      <charset val="2"/>
    </font>
    <font>
      <sz val="8"/>
      <name val="Arial"/>
      <family val="2"/>
    </font>
    <font>
      <sz val="9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  <font>
      <sz val="9"/>
      <color theme="1"/>
      <name val="Arial"/>
      <family val="2"/>
    </font>
    <font>
      <b/>
      <sz val="14"/>
      <color theme="5" tint="-0.499984740745262"/>
      <name val="Arial"/>
      <family val="2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b/>
      <sz val="11"/>
      <color indexed="8"/>
      <name val="Calibri"/>
      <family val="2"/>
    </font>
    <font>
      <sz val="11"/>
      <color indexed="8"/>
      <name val="Arial"/>
      <family val="2"/>
    </font>
    <font>
      <sz val="11"/>
      <name val="Calibri"/>
      <family val="2"/>
    </font>
    <font>
      <sz val="11"/>
      <color rgb="FFC00000"/>
      <name val="Calibri"/>
      <family val="2"/>
    </font>
    <font>
      <sz val="11"/>
      <color rgb="FF00B050"/>
      <name val="Calibri"/>
      <family val="2"/>
    </font>
    <font>
      <b/>
      <sz val="10"/>
      <color rgb="FF00B050"/>
      <name val="Arial"/>
      <family val="2"/>
    </font>
    <font>
      <sz val="9"/>
      <color theme="0"/>
      <name val="Arial"/>
      <family val="2"/>
    </font>
    <font>
      <b/>
      <sz val="9"/>
      <color indexed="57"/>
      <name val="Tahoma"/>
      <family val="2"/>
    </font>
    <font>
      <sz val="12"/>
      <name val="Arial"/>
      <family val="2"/>
    </font>
    <font>
      <sz val="12"/>
      <color rgb="FF00B050"/>
      <name val="Arial"/>
      <family val="2"/>
    </font>
    <font>
      <sz val="16"/>
      <color indexed="9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8.5"/>
      <name val="Arial"/>
      <family val="2"/>
    </font>
    <font>
      <sz val="12"/>
      <color theme="5" tint="-0.499984740745262"/>
      <name val="Arial"/>
      <family val="2"/>
    </font>
    <font>
      <sz val="11"/>
      <color theme="5" tint="-0.499984740745262"/>
      <name val="Arial"/>
      <family val="2"/>
    </font>
    <font>
      <b/>
      <sz val="9"/>
      <color rgb="FFFF0000"/>
      <name val="Arial"/>
      <family val="2"/>
    </font>
    <font>
      <b/>
      <sz val="12"/>
      <color theme="5" tint="-0.499984740745262"/>
      <name val="Arial"/>
      <family val="2"/>
    </font>
    <font>
      <sz val="9"/>
      <color rgb="FFFFFFFF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vertAlign val="subscript"/>
      <sz val="11"/>
      <color theme="1"/>
      <name val="Arial"/>
      <family val="2"/>
    </font>
    <font>
      <vertAlign val="subscript"/>
      <sz val="12"/>
      <color theme="1"/>
      <name val="Arial"/>
      <family val="2"/>
    </font>
    <font>
      <sz val="11"/>
      <color theme="1"/>
      <name val="Arial"/>
      <family val="2"/>
    </font>
    <font>
      <i/>
      <sz val="9"/>
      <color indexed="81"/>
      <name val="Tahoma"/>
      <family val="2"/>
    </font>
    <font>
      <sz val="9.5"/>
      <name val="Arial"/>
      <family val="2"/>
    </font>
    <font>
      <sz val="9.5"/>
      <color rgb="FFC00000"/>
      <name val="Arial"/>
      <family val="2"/>
    </font>
    <font>
      <sz val="9"/>
      <color rgb="FF00B050"/>
      <name val="Arial"/>
      <family val="2"/>
    </font>
    <font>
      <b/>
      <sz val="8"/>
      <color theme="0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6"/>
        <bgColor indexed="60"/>
      </patternFill>
    </fill>
    <fill>
      <patternFill patternType="solid">
        <fgColor indexed="4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gradientFill degree="270">
        <stop position="0">
          <color theme="5" tint="-0.25098422193060094"/>
        </stop>
        <stop position="1">
          <color theme="5" tint="-0.49803155613879818"/>
        </stop>
      </gradientFill>
    </fill>
    <fill>
      <patternFill patternType="solid">
        <fgColor theme="2" tint="-0.499984740745262"/>
        <bgColor indexed="64"/>
      </patternFill>
    </fill>
    <fill>
      <gradientFill degree="90">
        <stop position="0">
          <color theme="5" tint="0.40000610370189521"/>
        </stop>
        <stop position="1">
          <color theme="5" tint="-0.49803155613879818"/>
        </stop>
      </gradient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auto="1"/>
      </patternFill>
    </fill>
    <fill>
      <gradientFill degree="90">
        <stop position="0">
          <color theme="0" tint="-0.49803155613879818"/>
        </stop>
        <stop position="0.5">
          <color theme="0" tint="-0.34900967436750391"/>
        </stop>
        <stop position="1">
          <color theme="0" tint="-0.49803155613879818"/>
        </stop>
      </gradient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</fills>
  <borders count="204">
    <border>
      <left/>
      <right/>
      <top/>
      <bottom/>
      <diagonal/>
    </border>
    <border>
      <left/>
      <right/>
      <top/>
      <bottom style="thick">
        <color indexed="22"/>
      </bottom>
      <diagonal/>
    </border>
    <border>
      <left/>
      <right style="thick">
        <color indexed="9"/>
      </right>
      <top/>
      <bottom style="thin">
        <color indexed="9"/>
      </bottom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 style="thin">
        <color indexed="9"/>
      </bottom>
      <diagonal/>
    </border>
    <border>
      <left/>
      <right style="thick">
        <color indexed="9"/>
      </right>
      <top/>
      <bottom style="thick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ck">
        <color indexed="9"/>
      </left>
      <right/>
      <top/>
      <bottom style="thick">
        <color indexed="9"/>
      </bottom>
      <diagonal/>
    </border>
    <border>
      <left style="thin">
        <color indexed="9"/>
      </left>
      <right style="thin">
        <color indexed="9"/>
      </right>
      <top/>
      <bottom style="thick">
        <color indexed="9"/>
      </bottom>
      <diagonal/>
    </border>
    <border>
      <left/>
      <right style="thin">
        <color indexed="64"/>
      </right>
      <top/>
      <bottom style="thick">
        <color indexed="9"/>
      </bottom>
      <diagonal/>
    </border>
    <border>
      <left style="thin">
        <color indexed="64"/>
      </left>
      <right/>
      <top/>
      <bottom style="thick">
        <color indexed="9"/>
      </bottom>
      <diagonal/>
    </border>
    <border>
      <left/>
      <right/>
      <top/>
      <bottom style="thick">
        <color indexed="9"/>
      </bottom>
      <diagonal/>
    </border>
    <border>
      <left/>
      <right style="medium">
        <color indexed="64"/>
      </right>
      <top/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/>
      <bottom style="thick">
        <color indexed="9"/>
      </bottom>
      <diagonal/>
    </border>
    <border>
      <left style="thick">
        <color indexed="9"/>
      </left>
      <right/>
      <top style="thick">
        <color indexed="9"/>
      </top>
      <bottom/>
      <diagonal/>
    </border>
    <border>
      <left style="thick">
        <color indexed="9"/>
      </left>
      <right/>
      <top/>
      <bottom/>
      <diagonal/>
    </border>
    <border>
      <left style="thin">
        <color indexed="9"/>
      </left>
      <right/>
      <top/>
      <bottom style="thick">
        <color indexed="9"/>
      </bottom>
      <diagonal/>
    </border>
    <border>
      <left/>
      <right style="thin">
        <color indexed="9"/>
      </right>
      <top/>
      <bottom style="thick">
        <color indexed="9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ck">
        <color indexed="9"/>
      </left>
      <right style="thin">
        <color indexed="9"/>
      </right>
      <top style="thick">
        <color indexed="9"/>
      </top>
      <bottom style="thick">
        <color indexed="9"/>
      </bottom>
      <diagonal/>
    </border>
    <border>
      <left style="thin">
        <color indexed="9"/>
      </left>
      <right style="thin">
        <color indexed="9"/>
      </right>
      <top style="thick">
        <color indexed="9"/>
      </top>
      <bottom style="thick">
        <color indexed="9"/>
      </bottom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 style="thick">
        <color indexed="9"/>
      </top>
      <bottom/>
      <diagonal/>
    </border>
    <border>
      <left style="medium">
        <color indexed="64"/>
      </left>
      <right style="thin">
        <color indexed="64"/>
      </right>
      <top style="thick">
        <color indexed="9"/>
      </top>
      <bottom/>
      <diagonal/>
    </border>
    <border>
      <left style="thin">
        <color indexed="64"/>
      </left>
      <right/>
      <top style="thick">
        <color indexed="9"/>
      </top>
      <bottom/>
      <diagonal/>
    </border>
    <border>
      <left/>
      <right style="thin">
        <color indexed="64"/>
      </right>
      <top style="thick">
        <color indexed="9"/>
      </top>
      <bottom/>
      <diagonal/>
    </border>
    <border>
      <left style="thick">
        <color indexed="9"/>
      </left>
      <right style="thin">
        <color indexed="64"/>
      </right>
      <top/>
      <bottom style="thick">
        <color indexed="9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 style="thin">
        <color indexed="22"/>
      </top>
      <bottom/>
      <diagonal/>
    </border>
    <border>
      <left/>
      <right style="medium">
        <color indexed="64"/>
      </right>
      <top style="thick">
        <color indexed="9"/>
      </top>
      <bottom/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 style="thin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/>
      <bottom style="thin">
        <color indexed="22"/>
      </bottom>
      <diagonal/>
    </border>
    <border>
      <left style="thick">
        <color indexed="9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ck">
        <color indexed="9"/>
      </left>
      <right style="thin">
        <color indexed="9"/>
      </right>
      <top/>
      <bottom style="thin">
        <color indexed="9"/>
      </bottom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ck">
        <color indexed="9"/>
      </left>
      <right style="thin">
        <color indexed="9"/>
      </right>
      <top/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n">
        <color indexed="9"/>
      </top>
      <bottom/>
      <diagonal/>
    </border>
    <border>
      <left style="thick">
        <color indexed="9"/>
      </left>
      <right style="thick">
        <color indexed="9"/>
      </right>
      <top style="thick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22"/>
      </top>
      <bottom style="thick">
        <color indexed="22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n">
        <color indexed="9"/>
      </bottom>
      <diagonal/>
    </border>
    <border>
      <left style="thick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ck">
        <color indexed="9"/>
      </top>
      <bottom style="thick">
        <color indexed="9"/>
      </bottom>
      <diagonal/>
    </border>
    <border>
      <left/>
      <right style="thin">
        <color indexed="64"/>
      </right>
      <top style="thick">
        <color indexed="9"/>
      </top>
      <bottom style="thick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ck">
        <color indexed="9"/>
      </left>
      <right style="thick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ck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9"/>
      </bottom>
      <diagonal/>
    </border>
    <border>
      <left style="thin">
        <color indexed="64"/>
      </left>
      <right style="thin">
        <color indexed="64"/>
      </right>
      <top style="thick">
        <color indexed="9"/>
      </top>
      <bottom style="thick">
        <color indexed="9"/>
      </bottom>
      <diagonal/>
    </border>
    <border>
      <left style="thin">
        <color indexed="64"/>
      </left>
      <right/>
      <top style="thick">
        <color indexed="9"/>
      </top>
      <bottom style="thick">
        <color indexed="9"/>
      </bottom>
      <diagonal/>
    </border>
    <border>
      <left/>
      <right style="thick">
        <color indexed="9"/>
      </right>
      <top style="thick">
        <color indexed="9"/>
      </top>
      <bottom/>
      <diagonal/>
    </border>
    <border>
      <left/>
      <right style="thick">
        <color indexed="9"/>
      </right>
      <top style="thin">
        <color indexed="22"/>
      </top>
      <bottom style="thin">
        <color indexed="22"/>
      </bottom>
      <diagonal/>
    </border>
    <border>
      <left/>
      <right style="thick">
        <color indexed="9"/>
      </right>
      <top style="thin">
        <color indexed="55"/>
      </top>
      <bottom style="thin">
        <color indexed="55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/>
      <right/>
      <top style="thick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ck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22"/>
      </top>
      <bottom style="thick">
        <color indexed="22"/>
      </bottom>
      <diagonal/>
    </border>
    <border>
      <left/>
      <right/>
      <top style="thin">
        <color indexed="16"/>
      </top>
      <bottom style="thin">
        <color indexed="16"/>
      </bottom>
      <diagonal/>
    </border>
    <border>
      <left style="thick">
        <color indexed="9"/>
      </left>
      <right/>
      <top style="thick">
        <color indexed="9"/>
      </top>
      <bottom style="thin">
        <color indexed="22"/>
      </bottom>
      <diagonal/>
    </border>
    <border>
      <left/>
      <right style="thick">
        <color indexed="22"/>
      </right>
      <top style="thick">
        <color indexed="9"/>
      </top>
      <bottom style="thin">
        <color indexed="22"/>
      </bottom>
      <diagonal/>
    </border>
    <border>
      <left style="thick">
        <color indexed="22"/>
      </left>
      <right/>
      <top/>
      <bottom style="thin">
        <color indexed="22"/>
      </bottom>
      <diagonal/>
    </border>
    <border>
      <left style="thick">
        <color indexed="22"/>
      </left>
      <right/>
      <top style="thick">
        <color indexed="9"/>
      </top>
      <bottom/>
      <diagonal/>
    </border>
    <border>
      <left style="thin">
        <color indexed="22"/>
      </left>
      <right style="thin">
        <color indexed="22"/>
      </right>
      <top style="thick">
        <color indexed="9"/>
      </top>
      <bottom/>
      <diagonal/>
    </border>
    <border>
      <left style="thick">
        <color indexed="22"/>
      </left>
      <right/>
      <top style="thick">
        <color indexed="9"/>
      </top>
      <bottom style="thin">
        <color indexed="22"/>
      </bottom>
      <diagonal/>
    </border>
    <border>
      <left style="thick">
        <color indexed="9"/>
      </left>
      <right style="thin">
        <color indexed="22"/>
      </right>
      <top style="thin">
        <color indexed="22"/>
      </top>
      <bottom/>
      <diagonal/>
    </border>
    <border>
      <left/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22"/>
      </left>
      <right/>
      <top style="thin">
        <color indexed="22"/>
      </top>
      <bottom style="thin">
        <color indexed="22"/>
      </bottom>
      <diagonal/>
    </border>
    <border>
      <left style="thick">
        <color indexed="9"/>
      </left>
      <right style="thin">
        <color indexed="22"/>
      </right>
      <top/>
      <bottom/>
      <diagonal/>
    </border>
    <border>
      <left style="thin">
        <color indexed="22"/>
      </left>
      <right style="thick">
        <color indexed="22"/>
      </right>
      <top style="thin">
        <color indexed="22"/>
      </top>
      <bottom/>
      <diagonal/>
    </border>
    <border>
      <left style="thin">
        <color indexed="22"/>
      </left>
      <right style="thick">
        <color indexed="22"/>
      </right>
      <top/>
      <bottom style="thin">
        <color indexed="22"/>
      </bottom>
      <diagonal/>
    </border>
    <border>
      <left style="thick">
        <color indexed="9"/>
      </left>
      <right style="thin">
        <color indexed="22"/>
      </right>
      <top/>
      <bottom style="thin">
        <color indexed="22"/>
      </bottom>
      <diagonal/>
    </border>
    <border>
      <left style="thick">
        <color indexed="9"/>
      </left>
      <right style="thin">
        <color indexed="22"/>
      </right>
      <top/>
      <bottom style="thick">
        <color indexed="22"/>
      </bottom>
      <diagonal/>
    </border>
    <border>
      <left/>
      <right style="thick">
        <color indexed="22"/>
      </right>
      <top style="thin">
        <color indexed="22"/>
      </top>
      <bottom style="thick">
        <color indexed="22"/>
      </bottom>
      <diagonal/>
    </border>
    <border>
      <left style="thick">
        <color indexed="22"/>
      </left>
      <right/>
      <top/>
      <bottom style="thick">
        <color indexed="22"/>
      </bottom>
      <diagonal/>
    </border>
    <border>
      <left/>
      <right/>
      <top style="thick">
        <color indexed="22"/>
      </top>
      <bottom/>
      <diagonal/>
    </border>
    <border>
      <left/>
      <right style="thick">
        <color indexed="22"/>
      </right>
      <top style="thick">
        <color indexed="9"/>
      </top>
      <bottom/>
      <diagonal/>
    </border>
    <border>
      <left style="thick">
        <color indexed="22"/>
      </left>
      <right style="thick">
        <color indexed="22"/>
      </right>
      <top style="thick">
        <color indexed="9"/>
      </top>
      <bottom/>
      <diagonal/>
    </border>
    <border>
      <left style="thick">
        <color indexed="22"/>
      </left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9"/>
      </left>
      <right/>
      <top/>
      <bottom style="thick">
        <color indexed="22"/>
      </bottom>
      <diagonal/>
    </border>
    <border>
      <left/>
      <right style="thick">
        <color indexed="22"/>
      </right>
      <top/>
      <bottom style="thick">
        <color indexed="22"/>
      </bottom>
      <diagonal/>
    </border>
    <border>
      <left style="thick">
        <color indexed="22"/>
      </left>
      <right style="thick">
        <color indexed="22"/>
      </right>
      <top/>
      <bottom style="thick">
        <color indexed="22"/>
      </bottom>
      <diagonal/>
    </border>
    <border>
      <left style="thick">
        <color indexed="22"/>
      </left>
      <right/>
      <top style="thin">
        <color indexed="22"/>
      </top>
      <bottom style="thick">
        <color indexed="22"/>
      </bottom>
      <diagonal/>
    </border>
    <border>
      <left style="thick">
        <color indexed="22"/>
      </left>
      <right style="thick">
        <color indexed="22"/>
      </right>
      <top style="thick">
        <color indexed="9"/>
      </top>
      <bottom style="thin">
        <color indexed="22"/>
      </bottom>
      <diagonal/>
    </border>
    <border>
      <left style="thick">
        <color indexed="9"/>
      </left>
      <right style="thick">
        <color indexed="22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22"/>
      </bottom>
      <diagonal/>
    </border>
    <border>
      <left style="thick">
        <color indexed="9"/>
      </left>
      <right style="thick">
        <color indexed="22"/>
      </right>
      <top style="thick">
        <color indexed="9"/>
      </top>
      <bottom style="thick">
        <color indexed="22"/>
      </bottom>
      <diagonal/>
    </border>
    <border>
      <left style="thick">
        <color indexed="22"/>
      </left>
      <right style="thick">
        <color indexed="22"/>
      </right>
      <top style="thin">
        <color indexed="22"/>
      </top>
      <bottom style="thick">
        <color indexed="22"/>
      </bottom>
      <diagonal/>
    </border>
    <border>
      <left style="thick">
        <color indexed="9"/>
      </left>
      <right/>
      <top style="thick">
        <color indexed="22"/>
      </top>
      <bottom/>
      <diagonal/>
    </border>
    <border>
      <left/>
      <right style="thick">
        <color indexed="22"/>
      </right>
      <top style="thick">
        <color indexed="22"/>
      </top>
      <bottom/>
      <diagonal/>
    </border>
    <border>
      <left style="thick">
        <color indexed="22"/>
      </left>
      <right style="thick">
        <color indexed="22"/>
      </right>
      <top style="thick">
        <color indexed="22"/>
      </top>
      <bottom style="thin">
        <color indexed="22"/>
      </bottom>
      <diagonal/>
    </border>
    <border>
      <left/>
      <right style="thick">
        <color indexed="22"/>
      </right>
      <top/>
      <bottom/>
      <diagonal/>
    </border>
    <border>
      <left style="thick">
        <color indexed="22"/>
      </left>
      <right/>
      <top/>
      <bottom/>
      <diagonal/>
    </border>
    <border>
      <left style="thick">
        <color indexed="9"/>
      </left>
      <right/>
      <top style="thick">
        <color indexed="22"/>
      </top>
      <bottom style="thick">
        <color indexed="22"/>
      </bottom>
      <diagonal/>
    </border>
    <border>
      <left/>
      <right/>
      <top style="thick">
        <color indexed="22"/>
      </top>
      <bottom style="thick">
        <color indexed="22"/>
      </bottom>
      <diagonal/>
    </border>
    <border>
      <left style="thick">
        <color indexed="22"/>
      </left>
      <right/>
      <top style="thick">
        <color indexed="9"/>
      </top>
      <bottom style="thick">
        <color indexed="22"/>
      </bottom>
      <diagonal/>
    </border>
    <border>
      <left style="thick">
        <color indexed="22"/>
      </left>
      <right style="thick">
        <color indexed="22"/>
      </right>
      <top style="thick">
        <color indexed="9"/>
      </top>
      <bottom style="thick">
        <color indexed="22"/>
      </bottom>
      <diagonal/>
    </border>
    <border>
      <left/>
      <right style="thick">
        <color indexed="9"/>
      </right>
      <top style="thick">
        <color indexed="9"/>
      </top>
      <bottom style="thick">
        <color indexed="22"/>
      </bottom>
      <diagonal/>
    </border>
    <border>
      <left style="thick">
        <color indexed="9"/>
      </left>
      <right style="thin">
        <color indexed="22"/>
      </right>
      <top style="thick">
        <color indexed="22"/>
      </top>
      <bottom/>
      <diagonal/>
    </border>
    <border>
      <left style="thin">
        <color indexed="22"/>
      </left>
      <right style="thick">
        <color indexed="22"/>
      </right>
      <top style="thick">
        <color indexed="22"/>
      </top>
      <bottom/>
      <diagonal/>
    </border>
    <border>
      <left style="thick">
        <color indexed="22"/>
      </left>
      <right/>
      <top style="thick">
        <color indexed="22"/>
      </top>
      <bottom style="thin">
        <color indexed="22"/>
      </bottom>
      <diagonal/>
    </border>
    <border>
      <left style="thick">
        <color indexed="22"/>
      </left>
      <right style="thick">
        <color indexed="9"/>
      </right>
      <top style="thick">
        <color indexed="22"/>
      </top>
      <bottom/>
      <diagonal/>
    </border>
    <border>
      <left style="thick">
        <color indexed="22"/>
      </left>
      <right style="thick">
        <color indexed="9"/>
      </right>
      <top/>
      <bottom/>
      <diagonal/>
    </border>
    <border>
      <left/>
      <right style="thick">
        <color indexed="22"/>
      </right>
      <top style="thin">
        <color indexed="22"/>
      </top>
      <bottom/>
      <diagonal/>
    </border>
    <border>
      <left style="thick">
        <color indexed="22"/>
      </left>
      <right style="thick">
        <color indexed="9"/>
      </right>
      <top/>
      <bottom style="thick">
        <color indexed="22"/>
      </bottom>
      <diagonal/>
    </border>
    <border>
      <left/>
      <right style="thick">
        <color indexed="22"/>
      </right>
      <top style="thick">
        <color indexed="22"/>
      </top>
      <bottom style="thick">
        <color indexed="22"/>
      </bottom>
      <diagonal/>
    </border>
    <border>
      <left style="thick">
        <color indexed="22"/>
      </left>
      <right/>
      <top style="thick">
        <color indexed="22"/>
      </top>
      <bottom style="thick">
        <color indexed="22"/>
      </bottom>
      <diagonal/>
    </border>
    <border>
      <left style="thick">
        <color indexed="22"/>
      </left>
      <right style="thick">
        <color indexed="22"/>
      </right>
      <top style="thick">
        <color indexed="22"/>
      </top>
      <bottom style="thick">
        <color indexed="22"/>
      </bottom>
      <diagonal/>
    </border>
    <border>
      <left/>
      <right style="thick">
        <color indexed="9"/>
      </right>
      <top style="thick">
        <color indexed="22"/>
      </top>
      <bottom style="thick">
        <color indexed="22"/>
      </bottom>
      <diagonal/>
    </border>
    <border>
      <left style="thick">
        <color indexed="9"/>
      </left>
      <right style="thick">
        <color indexed="9"/>
      </right>
      <top style="thin">
        <color indexed="9"/>
      </top>
      <bottom style="thick">
        <color indexed="9"/>
      </bottom>
      <diagonal/>
    </border>
    <border>
      <left style="thin">
        <color indexed="9"/>
      </left>
      <right style="thin">
        <color indexed="9"/>
      </right>
      <top style="thick">
        <color indexed="22"/>
      </top>
      <bottom/>
      <diagonal/>
    </border>
    <border>
      <left style="thick">
        <color indexed="9"/>
      </left>
      <right/>
      <top/>
      <bottom style="thin">
        <color indexed="22"/>
      </bottom>
      <diagonal/>
    </border>
    <border>
      <left style="thick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ck">
        <color indexed="9"/>
      </left>
      <right style="thick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ck">
        <color indexed="9"/>
      </right>
      <top/>
      <bottom style="thin">
        <color indexed="9"/>
      </bottom>
      <diagonal/>
    </border>
    <border>
      <left/>
      <right style="thick">
        <color indexed="9"/>
      </right>
      <top style="thin">
        <color indexed="9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9"/>
      </bottom>
      <diagonal/>
    </border>
    <border>
      <left/>
      <right/>
      <top style="thick">
        <color indexed="9"/>
      </top>
      <bottom style="thin">
        <color indexed="9"/>
      </bottom>
      <diagonal/>
    </border>
    <border>
      <left style="thick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 style="thick">
        <color indexed="9"/>
      </bottom>
      <diagonal/>
    </border>
    <border>
      <left/>
      <right style="thick">
        <color indexed="9"/>
      </right>
      <top style="thick">
        <color indexed="9"/>
      </top>
      <bottom style="thin">
        <color indexed="9"/>
      </bottom>
      <diagonal/>
    </border>
    <border>
      <left/>
      <right/>
      <top style="thin">
        <color indexed="16"/>
      </top>
      <bottom/>
      <diagonal/>
    </border>
    <border>
      <left/>
      <right/>
      <top/>
      <bottom style="thin">
        <color indexed="1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ck">
        <color indexed="9"/>
      </bottom>
      <diagonal/>
    </border>
    <border>
      <left style="thin">
        <color indexed="9"/>
      </left>
      <right style="thick">
        <color indexed="9"/>
      </right>
      <top/>
      <bottom style="thick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ck">
        <color indexed="9"/>
      </left>
      <right/>
      <top style="thick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/>
      <bottom style="thick">
        <color indexed="9"/>
      </bottom>
      <diagonal/>
    </border>
    <border>
      <left style="thin">
        <color indexed="9"/>
      </left>
      <right/>
      <top style="thick">
        <color indexed="9"/>
      </top>
      <bottom style="thick">
        <color indexed="9"/>
      </bottom>
      <diagonal/>
    </border>
    <border>
      <left style="thin">
        <color indexed="64"/>
      </left>
      <right style="thick">
        <color indexed="9"/>
      </right>
      <top/>
      <bottom style="thick">
        <color indexed="9"/>
      </bottom>
      <diagonal/>
    </border>
    <border>
      <left style="thin">
        <color indexed="64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n">
        <color indexed="64"/>
      </left>
      <right style="thick">
        <color indexed="9"/>
      </right>
      <top style="thick">
        <color indexed="9"/>
      </top>
      <bottom/>
      <diagonal/>
    </border>
    <border>
      <left/>
      <right/>
      <top/>
      <bottom style="thin">
        <color indexed="55"/>
      </bottom>
      <diagonal/>
    </border>
    <border>
      <left/>
      <right style="thick">
        <color indexed="9"/>
      </right>
      <top/>
      <bottom style="thin">
        <color indexed="55"/>
      </bottom>
      <diagonal/>
    </border>
    <border>
      <left style="thick">
        <color indexed="22"/>
      </left>
      <right/>
      <top style="thin">
        <color indexed="22"/>
      </top>
      <bottom/>
      <diagonal/>
    </border>
    <border>
      <left style="thick">
        <color indexed="22"/>
      </left>
      <right style="thin">
        <color indexed="22"/>
      </right>
      <top style="thin">
        <color indexed="22"/>
      </top>
      <bottom/>
      <diagonal/>
    </border>
    <border>
      <left style="thick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ck">
        <color indexed="22"/>
      </bottom>
      <diagonal/>
    </border>
    <border>
      <left/>
      <right style="thick">
        <color indexed="22"/>
      </right>
      <top/>
      <bottom style="thin">
        <color indexed="22"/>
      </bottom>
      <diagonal/>
    </border>
    <border>
      <left style="thick">
        <color indexed="22"/>
      </left>
      <right style="thick">
        <color indexed="22"/>
      </right>
      <top/>
      <bottom style="thin">
        <color indexed="22"/>
      </bottom>
      <diagonal/>
    </border>
    <border>
      <left style="thick">
        <color indexed="9"/>
      </left>
      <right style="thick">
        <color indexed="22"/>
      </right>
      <top style="thick">
        <color indexed="9"/>
      </top>
      <bottom/>
      <diagonal/>
    </border>
    <border>
      <left style="thick">
        <color indexed="9"/>
      </left>
      <right/>
      <top style="thin">
        <color indexed="9"/>
      </top>
      <bottom style="thick">
        <color indexed="9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theme="0"/>
      </left>
      <right style="thick">
        <color indexed="9"/>
      </right>
      <top/>
      <bottom style="thick">
        <color indexed="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ck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ck">
        <color indexed="9"/>
      </bottom>
      <diagonal/>
    </border>
    <border>
      <left style="thick">
        <color indexed="9"/>
      </left>
      <right style="thin">
        <color indexed="9"/>
      </right>
      <top style="thin">
        <color indexed="9"/>
      </top>
      <bottom style="thick">
        <color indexed="9"/>
      </bottom>
      <diagonal/>
    </border>
    <border>
      <left/>
      <right style="thick">
        <color indexed="9"/>
      </right>
      <top/>
      <bottom style="thick">
        <color theme="0"/>
      </bottom>
      <diagonal/>
    </border>
    <border>
      <left style="thick">
        <color indexed="9"/>
      </left>
      <right style="thick">
        <color indexed="9"/>
      </right>
      <top style="thin">
        <color indexed="9"/>
      </top>
      <bottom style="thick">
        <color theme="0"/>
      </bottom>
      <diagonal/>
    </border>
    <border>
      <left style="thick">
        <color indexed="9"/>
      </left>
      <right style="thick">
        <color indexed="9"/>
      </right>
      <top/>
      <bottom style="thick">
        <color theme="0"/>
      </bottom>
      <diagonal/>
    </border>
    <border>
      <left style="thick">
        <color indexed="9"/>
      </left>
      <right/>
      <top/>
      <bottom style="thick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ck">
        <color theme="0"/>
      </right>
      <top/>
      <bottom/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ck">
        <color indexed="9"/>
      </right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9"/>
      </right>
      <top style="thin">
        <color indexed="55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 style="double">
        <color theme="0" tint="-0.34998626667073579"/>
      </top>
      <bottom style="thick">
        <color indexed="9"/>
      </bottom>
      <diagonal/>
    </border>
    <border>
      <left style="thin">
        <color indexed="9"/>
      </left>
      <right style="thin">
        <color indexed="9"/>
      </right>
      <top style="thick">
        <color indexed="9"/>
      </top>
      <bottom/>
      <diagonal/>
    </border>
    <border>
      <left style="thick">
        <color indexed="9"/>
      </left>
      <right style="thin">
        <color indexed="9"/>
      </right>
      <top style="thick">
        <color indexed="9"/>
      </top>
      <bottom style="thin">
        <color indexed="9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ck">
        <color indexed="9"/>
      </right>
      <top style="thick">
        <color theme="0"/>
      </top>
      <bottom style="thick">
        <color theme="0"/>
      </bottom>
      <diagonal/>
    </border>
    <border>
      <left/>
      <right style="thick">
        <color indexed="9"/>
      </right>
      <top style="thick">
        <color indexed="9"/>
      </top>
      <bottom style="thin">
        <color indexed="55"/>
      </bottom>
      <diagonal/>
    </border>
    <border>
      <left style="thick">
        <color theme="0"/>
      </left>
      <right style="thick">
        <color theme="0"/>
      </right>
      <top/>
      <bottom style="thick">
        <color indexed="9"/>
      </bottom>
      <diagonal/>
    </border>
    <border>
      <left style="thick">
        <color theme="0"/>
      </left>
      <right/>
      <top/>
      <bottom style="thin">
        <color indexed="9"/>
      </bottom>
      <diagonal/>
    </border>
    <border>
      <left style="thin">
        <color indexed="9"/>
      </left>
      <right style="thick">
        <color theme="0"/>
      </right>
      <top/>
      <bottom style="thin">
        <color indexed="9"/>
      </bottom>
      <diagonal/>
    </border>
    <border>
      <left style="thick">
        <color theme="0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ck">
        <color theme="0"/>
      </right>
      <top style="thin">
        <color indexed="9"/>
      </top>
      <bottom style="thin">
        <color indexed="9"/>
      </bottom>
      <diagonal/>
    </border>
    <border>
      <left style="thick">
        <color theme="0"/>
      </left>
      <right style="thin">
        <color indexed="9"/>
      </right>
      <top/>
      <bottom style="thick">
        <color indexed="9"/>
      </bottom>
      <diagonal/>
    </border>
    <border>
      <left style="thin">
        <color indexed="9"/>
      </left>
      <right style="thick">
        <color theme="0"/>
      </right>
      <top/>
      <bottom style="thick">
        <color indexed="9"/>
      </bottom>
      <diagonal/>
    </border>
    <border>
      <left style="thick">
        <color theme="0"/>
      </left>
      <right style="thick">
        <color theme="0"/>
      </right>
      <top/>
      <bottom style="thin">
        <color indexed="9"/>
      </bottom>
      <diagonal/>
    </border>
    <border>
      <left style="thick">
        <color theme="0"/>
      </left>
      <right style="thick">
        <color theme="0"/>
      </right>
      <top style="thick">
        <color indexed="9"/>
      </top>
      <bottom style="thick">
        <color indexed="9"/>
      </bottom>
      <diagonal/>
    </border>
    <border>
      <left/>
      <right/>
      <top/>
      <bottom style="thin">
        <color theme="0"/>
      </bottom>
      <diagonal/>
    </border>
    <border>
      <left style="thick">
        <color theme="0"/>
      </left>
      <right/>
      <top/>
      <bottom style="thin">
        <color theme="0"/>
      </bottom>
      <diagonal/>
    </border>
  </borders>
  <cellStyleXfs count="24"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20">
    <xf numFmtId="0" fontId="0" fillId="0" borderId="0" xfId="0"/>
    <xf numFmtId="0" fontId="0" fillId="0" borderId="0" xfId="0" applyProtection="1">
      <protection hidden="1"/>
    </xf>
    <xf numFmtId="0" fontId="3" fillId="0" borderId="0" xfId="0" applyFont="1" applyProtection="1">
      <protection hidden="1"/>
    </xf>
    <xf numFmtId="0" fontId="0" fillId="0" borderId="0" xfId="0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2" fillId="2" borderId="2" xfId="0" applyFont="1" applyFill="1" applyBorder="1" applyAlignment="1" applyProtection="1">
      <alignment horizontal="center" vertical="center"/>
      <protection hidden="1"/>
    </xf>
    <xf numFmtId="0" fontId="0" fillId="0" borderId="3" xfId="0" applyBorder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2" borderId="5" xfId="0" applyFont="1" applyFill="1" applyBorder="1" applyAlignment="1" applyProtection="1">
      <alignment horizontal="center" vertical="center"/>
      <protection hidden="1"/>
    </xf>
    <xf numFmtId="0" fontId="2" fillId="2" borderId="6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8" xfId="0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Alignment="1" applyProtection="1">
      <alignment vertical="center"/>
      <protection hidden="1"/>
    </xf>
    <xf numFmtId="165" fontId="2" fillId="2" borderId="10" xfId="0" applyNumberFormat="1" applyFont="1" applyFill="1" applyBorder="1" applyAlignment="1" applyProtection="1">
      <alignment vertical="center"/>
      <protection hidden="1"/>
    </xf>
    <xf numFmtId="165" fontId="2" fillId="3" borderId="8" xfId="0" applyNumberFormat="1" applyFont="1" applyFill="1" applyBorder="1" applyAlignment="1" applyProtection="1">
      <alignment vertical="center"/>
      <protection hidden="1"/>
    </xf>
    <xf numFmtId="165" fontId="2" fillId="4" borderId="12" xfId="0" applyNumberFormat="1" applyFont="1" applyFill="1" applyBorder="1" applyAlignment="1" applyProtection="1">
      <alignment vertical="center"/>
      <protection hidden="1"/>
    </xf>
    <xf numFmtId="165" fontId="22" fillId="0" borderId="0" xfId="0" applyNumberFormat="1" applyFont="1" applyAlignment="1" applyProtection="1">
      <alignment vertical="center"/>
      <protection hidden="1"/>
    </xf>
    <xf numFmtId="1" fontId="0" fillId="0" borderId="3" xfId="0" applyNumberFormat="1" applyBorder="1" applyAlignment="1" applyProtection="1">
      <alignment horizontal="right"/>
      <protection hidden="1"/>
    </xf>
    <xf numFmtId="2" fontId="2" fillId="0" borderId="13" xfId="0" applyNumberFormat="1" applyFont="1" applyBorder="1" applyAlignment="1" applyProtection="1">
      <alignment horizontal="center"/>
      <protection hidden="1"/>
    </xf>
    <xf numFmtId="165" fontId="5" fillId="0" borderId="14" xfId="0" applyNumberFormat="1" applyFont="1" applyBorder="1" applyProtection="1">
      <protection hidden="1"/>
    </xf>
    <xf numFmtId="2" fontId="5" fillId="0" borderId="14" xfId="0" applyNumberFormat="1" applyFont="1" applyBorder="1" applyProtection="1">
      <protection hidden="1"/>
    </xf>
    <xf numFmtId="165" fontId="0" fillId="0" borderId="14" xfId="0" applyNumberFormat="1" applyBorder="1" applyProtection="1">
      <protection hidden="1"/>
    </xf>
    <xf numFmtId="12" fontId="2" fillId="0" borderId="14" xfId="0" applyNumberFormat="1" applyFont="1" applyBorder="1" applyProtection="1">
      <protection hidden="1"/>
    </xf>
    <xf numFmtId="167" fontId="0" fillId="0" borderId="13" xfId="0" applyNumberFormat="1" applyBorder="1" applyProtection="1">
      <protection hidden="1"/>
    </xf>
    <xf numFmtId="167" fontId="5" fillId="0" borderId="14" xfId="0" applyNumberFormat="1" applyFont="1" applyBorder="1" applyProtection="1">
      <protection hidden="1"/>
    </xf>
    <xf numFmtId="2" fontId="5" fillId="0" borderId="13" xfId="0" applyNumberFormat="1" applyFont="1" applyBorder="1" applyProtection="1">
      <protection hidden="1"/>
    </xf>
    <xf numFmtId="2" fontId="5" fillId="0" borderId="14" xfId="0" applyNumberFormat="1" applyFont="1" applyBorder="1" applyAlignment="1" applyProtection="1">
      <alignment horizontal="center"/>
      <protection hidden="1"/>
    </xf>
    <xf numFmtId="2" fontId="0" fillId="0" borderId="13" xfId="0" applyNumberFormat="1" applyBorder="1" applyProtection="1">
      <protection hidden="1"/>
    </xf>
    <xf numFmtId="2" fontId="0" fillId="0" borderId="0" xfId="0" applyNumberFormat="1" applyProtection="1">
      <protection hidden="1"/>
    </xf>
    <xf numFmtId="2" fontId="5" fillId="0" borderId="0" xfId="0" applyNumberFormat="1" applyFont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165" fontId="17" fillId="0" borderId="14" xfId="0" applyNumberFormat="1" applyFont="1" applyBorder="1" applyProtection="1">
      <protection hidden="1"/>
    </xf>
    <xf numFmtId="12" fontId="7" fillId="0" borderId="14" xfId="0" applyNumberFormat="1" applyFont="1" applyBorder="1" applyProtection="1">
      <protection hidden="1"/>
    </xf>
    <xf numFmtId="167" fontId="9" fillId="0" borderId="13" xfId="0" applyNumberFormat="1" applyFont="1" applyBorder="1" applyProtection="1">
      <protection hidden="1"/>
    </xf>
    <xf numFmtId="167" fontId="9" fillId="0" borderId="14" xfId="0" applyNumberFormat="1" applyFont="1" applyBorder="1" applyProtection="1">
      <protection hidden="1"/>
    </xf>
    <xf numFmtId="2" fontId="9" fillId="0" borderId="13" xfId="0" applyNumberFormat="1" applyFont="1" applyBorder="1" applyProtection="1">
      <protection hidden="1"/>
    </xf>
    <xf numFmtId="2" fontId="9" fillId="0" borderId="14" xfId="0" applyNumberFormat="1" applyFont="1" applyBorder="1" applyProtection="1">
      <protection hidden="1"/>
    </xf>
    <xf numFmtId="2" fontId="9" fillId="0" borderId="14" xfId="0" applyNumberFormat="1" applyFont="1" applyBorder="1" applyAlignment="1" applyProtection="1">
      <alignment horizontal="center"/>
      <protection hidden="1"/>
    </xf>
    <xf numFmtId="2" fontId="9" fillId="0" borderId="0" xfId="0" applyNumberFormat="1" applyFont="1" applyProtection="1">
      <protection hidden="1"/>
    </xf>
    <xf numFmtId="2" fontId="9" fillId="0" borderId="0" xfId="0" applyNumberFormat="1" applyFont="1" applyAlignment="1" applyProtection="1">
      <alignment horizontal="center"/>
      <protection hidden="1"/>
    </xf>
    <xf numFmtId="164" fontId="0" fillId="0" borderId="7" xfId="0" applyNumberFormat="1" applyBorder="1" applyProtection="1">
      <protection hidden="1"/>
    </xf>
    <xf numFmtId="0" fontId="2" fillId="2" borderId="13" xfId="0" applyFont="1" applyFill="1" applyBorder="1" applyAlignment="1" applyProtection="1">
      <alignment horizontal="center" vertical="center"/>
      <protection hidden="1"/>
    </xf>
    <xf numFmtId="0" fontId="5" fillId="2" borderId="13" xfId="0" applyFont="1" applyFill="1" applyBorder="1" applyAlignment="1" applyProtection="1">
      <alignment horizontal="center" vertical="center"/>
      <protection hidden="1"/>
    </xf>
    <xf numFmtId="1" fontId="7" fillId="0" borderId="0" xfId="0" quotePrefix="1" applyNumberFormat="1" applyFont="1" applyProtection="1">
      <protection hidden="1"/>
    </xf>
    <xf numFmtId="0" fontId="10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0" fontId="0" fillId="5" borderId="3" xfId="0" applyFill="1" applyBorder="1" applyProtection="1">
      <protection hidden="1"/>
    </xf>
    <xf numFmtId="0" fontId="9" fillId="5" borderId="3" xfId="0" applyFont="1" applyFill="1" applyBorder="1" applyProtection="1">
      <protection hidden="1"/>
    </xf>
    <xf numFmtId="0" fontId="26" fillId="5" borderId="15" xfId="0" applyFont="1" applyFill="1" applyBorder="1" applyProtection="1">
      <protection hidden="1"/>
    </xf>
    <xf numFmtId="0" fontId="16" fillId="5" borderId="16" xfId="0" applyFont="1" applyFill="1" applyBorder="1" applyAlignment="1" applyProtection="1">
      <alignment horizontal="left" vertical="center"/>
      <protection hidden="1"/>
    </xf>
    <xf numFmtId="0" fontId="15" fillId="5" borderId="16" xfId="0" applyFont="1" applyFill="1" applyBorder="1" applyAlignment="1" applyProtection="1">
      <alignment horizontal="left" vertical="center"/>
      <protection hidden="1"/>
    </xf>
    <xf numFmtId="0" fontId="0" fillId="5" borderId="5" xfId="0" applyFill="1" applyBorder="1" applyProtection="1">
      <protection hidden="1"/>
    </xf>
    <xf numFmtId="0" fontId="0" fillId="0" borderId="19" xfId="0" applyBorder="1" applyProtection="1">
      <protection hidden="1"/>
    </xf>
    <xf numFmtId="2" fontId="5" fillId="6" borderId="8" xfId="0" applyNumberFormat="1" applyFont="1" applyFill="1" applyBorder="1" applyAlignment="1" applyProtection="1">
      <alignment vertical="center"/>
      <protection hidden="1"/>
    </xf>
    <xf numFmtId="165" fontId="5" fillId="6" borderId="7" xfId="0" applyNumberFormat="1" applyFont="1" applyFill="1" applyBorder="1" applyAlignment="1" applyProtection="1">
      <alignment vertical="center"/>
      <protection hidden="1"/>
    </xf>
    <xf numFmtId="0" fontId="0" fillId="2" borderId="23" xfId="0" applyFill="1" applyBorder="1" applyAlignment="1" applyProtection="1">
      <alignment vertical="center"/>
      <protection hidden="1"/>
    </xf>
    <xf numFmtId="0" fontId="2" fillId="2" borderId="24" xfId="0" applyFont="1" applyFill="1" applyBorder="1" applyAlignment="1" applyProtection="1">
      <alignment vertical="center"/>
      <protection hidden="1"/>
    </xf>
    <xf numFmtId="0" fontId="2" fillId="2" borderId="25" xfId="0" applyFont="1" applyFill="1" applyBorder="1" applyAlignment="1" applyProtection="1">
      <alignment vertical="center"/>
      <protection hidden="1"/>
    </xf>
    <xf numFmtId="0" fontId="2" fillId="2" borderId="23" xfId="0" applyFont="1" applyFill="1" applyBorder="1" applyAlignment="1" applyProtection="1">
      <alignment vertical="center"/>
      <protection hidden="1"/>
    </xf>
    <xf numFmtId="0" fontId="2" fillId="2" borderId="26" xfId="0" applyFont="1" applyFill="1" applyBorder="1" applyAlignment="1" applyProtection="1">
      <alignment vertical="center"/>
      <protection hidden="1"/>
    </xf>
    <xf numFmtId="0" fontId="0" fillId="2" borderId="25" xfId="0" applyFill="1" applyBorder="1" applyAlignment="1" applyProtection="1">
      <alignment vertical="center"/>
      <protection hidden="1"/>
    </xf>
    <xf numFmtId="0" fontId="0" fillId="2" borderId="23" xfId="0" applyFill="1" applyBorder="1" applyProtection="1">
      <protection hidden="1"/>
    </xf>
    <xf numFmtId="165" fontId="22" fillId="0" borderId="27" xfId="0" applyNumberFormat="1" applyFont="1" applyBorder="1" applyAlignment="1" applyProtection="1">
      <alignment vertical="center"/>
      <protection hidden="1"/>
    </xf>
    <xf numFmtId="0" fontId="0" fillId="2" borderId="11" xfId="0" applyFill="1" applyBorder="1" applyAlignment="1" applyProtection="1">
      <alignment vertical="center"/>
      <protection hidden="1"/>
    </xf>
    <xf numFmtId="0" fontId="0" fillId="2" borderId="10" xfId="0" applyFill="1" applyBorder="1" applyAlignment="1" applyProtection="1">
      <alignment vertical="center"/>
      <protection hidden="1"/>
    </xf>
    <xf numFmtId="0" fontId="0" fillId="2" borderId="9" xfId="0" applyFill="1" applyBorder="1" applyAlignment="1" applyProtection="1">
      <alignment horizontal="center" vertical="center"/>
      <protection hidden="1"/>
    </xf>
    <xf numFmtId="0" fontId="0" fillId="0" borderId="28" xfId="0" applyBorder="1" applyProtection="1">
      <protection hidden="1"/>
    </xf>
    <xf numFmtId="0" fontId="0" fillId="0" borderId="29" xfId="0" applyBorder="1" applyProtection="1">
      <protection hidden="1"/>
    </xf>
    <xf numFmtId="0" fontId="10" fillId="2" borderId="23" xfId="0" applyFont="1" applyFill="1" applyBorder="1" applyAlignment="1" applyProtection="1">
      <alignment vertical="center"/>
      <protection hidden="1"/>
    </xf>
    <xf numFmtId="0" fontId="0" fillId="2" borderId="30" xfId="0" applyFill="1" applyBorder="1" applyAlignment="1" applyProtection="1">
      <alignment vertical="center"/>
      <protection hidden="1"/>
    </xf>
    <xf numFmtId="165" fontId="10" fillId="8" borderId="13" xfId="0" applyNumberFormat="1" applyFont="1" applyFill="1" applyBorder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right" vertical="center"/>
      <protection hidden="1"/>
    </xf>
    <xf numFmtId="0" fontId="2" fillId="2" borderId="15" xfId="0" applyFont="1" applyFill="1" applyBorder="1" applyAlignment="1" applyProtection="1">
      <alignment horizontal="right" vertical="center"/>
      <protection hidden="1"/>
    </xf>
    <xf numFmtId="165" fontId="0" fillId="0" borderId="0" xfId="0" applyNumberFormat="1" applyProtection="1">
      <protection hidden="1"/>
    </xf>
    <xf numFmtId="165" fontId="5" fillId="7" borderId="13" xfId="0" applyNumberFormat="1" applyFont="1" applyFill="1" applyBorder="1" applyAlignment="1" applyProtection="1">
      <alignment vertical="center"/>
      <protection hidden="1"/>
    </xf>
    <xf numFmtId="0" fontId="5" fillId="2" borderId="28" xfId="0" applyFont="1" applyFill="1" applyBorder="1" applyAlignment="1" applyProtection="1">
      <alignment vertical="center"/>
      <protection hidden="1"/>
    </xf>
    <xf numFmtId="0" fontId="2" fillId="2" borderId="28" xfId="0" applyFont="1" applyFill="1" applyBorder="1" applyAlignment="1" applyProtection="1">
      <alignment vertical="center"/>
      <protection hidden="1"/>
    </xf>
    <xf numFmtId="0" fontId="2" fillId="2" borderId="22" xfId="0" applyFont="1" applyFill="1" applyBorder="1" applyAlignment="1" applyProtection="1">
      <alignment vertical="center"/>
      <protection hidden="1"/>
    </xf>
    <xf numFmtId="0" fontId="9" fillId="2" borderId="28" xfId="0" applyFont="1" applyFill="1" applyBorder="1" applyAlignment="1" applyProtection="1">
      <alignment vertical="center"/>
      <protection hidden="1"/>
    </xf>
    <xf numFmtId="0" fontId="9" fillId="2" borderId="22" xfId="0" applyFont="1" applyFill="1" applyBorder="1" applyAlignment="1" applyProtection="1">
      <alignment vertical="center"/>
      <protection hidden="1"/>
    </xf>
    <xf numFmtId="165" fontId="0" fillId="0" borderId="0" xfId="0" applyNumberFormat="1" applyAlignment="1" applyProtection="1">
      <alignment vertical="center"/>
      <protection hidden="1"/>
    </xf>
    <xf numFmtId="0" fontId="7" fillId="2" borderId="31" xfId="0" applyFont="1" applyFill="1" applyBorder="1" applyAlignment="1" applyProtection="1">
      <alignment vertical="center"/>
      <protection hidden="1"/>
    </xf>
    <xf numFmtId="2" fontId="5" fillId="6" borderId="31" xfId="0" applyNumberFormat="1" applyFont="1" applyFill="1" applyBorder="1" applyAlignment="1" applyProtection="1">
      <alignment vertical="center"/>
      <protection hidden="1"/>
    </xf>
    <xf numFmtId="2" fontId="5" fillId="7" borderId="13" xfId="0" applyNumberFormat="1" applyFont="1" applyFill="1" applyBorder="1" applyAlignment="1" applyProtection="1">
      <alignment vertical="center"/>
      <protection hidden="1"/>
    </xf>
    <xf numFmtId="2" fontId="5" fillId="6" borderId="13" xfId="0" applyNumberFormat="1" applyFont="1" applyFill="1" applyBorder="1" applyAlignment="1" applyProtection="1">
      <alignment vertical="center"/>
      <protection hidden="1"/>
    </xf>
    <xf numFmtId="49" fontId="0" fillId="0" borderId="0" xfId="0" applyNumberFormat="1" applyAlignment="1" applyProtection="1">
      <alignment vertical="center"/>
      <protection hidden="1"/>
    </xf>
    <xf numFmtId="2" fontId="22" fillId="0" borderId="0" xfId="0" applyNumberFormat="1" applyFont="1" applyAlignment="1" applyProtection="1">
      <alignment vertical="center"/>
      <protection hidden="1"/>
    </xf>
    <xf numFmtId="2" fontId="10" fillId="8" borderId="13" xfId="0" applyNumberFormat="1" applyFont="1" applyFill="1" applyBorder="1" applyAlignment="1" applyProtection="1">
      <alignment vertical="center"/>
      <protection hidden="1"/>
    </xf>
    <xf numFmtId="2" fontId="2" fillId="4" borderId="12" xfId="0" applyNumberFormat="1" applyFont="1" applyFill="1" applyBorder="1" applyAlignment="1" applyProtection="1">
      <alignment vertical="center"/>
      <protection hidden="1"/>
    </xf>
    <xf numFmtId="0" fontId="7" fillId="7" borderId="13" xfId="0" applyFont="1" applyFill="1" applyBorder="1" applyAlignment="1" applyProtection="1">
      <alignment horizontal="center" vertical="center"/>
      <protection hidden="1"/>
    </xf>
    <xf numFmtId="1" fontId="7" fillId="7" borderId="13" xfId="0" applyNumberFormat="1" applyFont="1" applyFill="1" applyBorder="1" applyAlignment="1" applyProtection="1">
      <alignment horizontal="center" vertical="center"/>
      <protection hidden="1"/>
    </xf>
    <xf numFmtId="0" fontId="2" fillId="2" borderId="31" xfId="0" applyFont="1" applyFill="1" applyBorder="1" applyAlignment="1" applyProtection="1">
      <alignment horizontal="center" vertical="center"/>
      <protection hidden="1"/>
    </xf>
    <xf numFmtId="0" fontId="0" fillId="0" borderId="33" xfId="0" applyBorder="1" applyProtection="1">
      <protection hidden="1"/>
    </xf>
    <xf numFmtId="0" fontId="2" fillId="0" borderId="19" xfId="0" applyFont="1" applyBorder="1" applyAlignment="1" applyProtection="1">
      <alignment horizontal="left" vertical="center"/>
      <protection hidden="1"/>
    </xf>
    <xf numFmtId="0" fontId="0" fillId="0" borderId="34" xfId="0" applyBorder="1" applyAlignment="1" applyProtection="1">
      <alignment vertical="center"/>
      <protection hidden="1"/>
    </xf>
    <xf numFmtId="0" fontId="2" fillId="9" borderId="17" xfId="0" applyFont="1" applyFill="1" applyBorder="1" applyAlignment="1" applyProtection="1">
      <alignment horizontal="center" vertical="center"/>
      <protection hidden="1"/>
    </xf>
    <xf numFmtId="0" fontId="2" fillId="9" borderId="14" xfId="0" applyFont="1" applyFill="1" applyBorder="1" applyAlignment="1" applyProtection="1">
      <alignment horizontal="center" vertical="center"/>
      <protection hidden="1"/>
    </xf>
    <xf numFmtId="0" fontId="2" fillId="9" borderId="35" xfId="0" applyFont="1" applyFill="1" applyBorder="1" applyAlignment="1" applyProtection="1">
      <alignment horizontal="center" vertical="center"/>
      <protection hidden="1"/>
    </xf>
    <xf numFmtId="0" fontId="2" fillId="9" borderId="4" xfId="0" applyFont="1" applyFill="1" applyBorder="1" applyAlignment="1" applyProtection="1">
      <alignment horizontal="center" vertical="center"/>
      <protection hidden="1"/>
    </xf>
    <xf numFmtId="0" fontId="7" fillId="9" borderId="4" xfId="0" applyFont="1" applyFill="1" applyBorder="1" applyAlignment="1" applyProtection="1">
      <alignment horizontal="center" vertical="center"/>
      <protection hidden="1"/>
    </xf>
    <xf numFmtId="0" fontId="2" fillId="9" borderId="36" xfId="0" applyFont="1" applyFill="1" applyBorder="1" applyAlignment="1" applyProtection="1">
      <alignment horizontal="center" vertical="center"/>
      <protection hidden="1"/>
    </xf>
    <xf numFmtId="0" fontId="2" fillId="9" borderId="37" xfId="0" applyFont="1" applyFill="1" applyBorder="1" applyAlignment="1" applyProtection="1">
      <alignment horizontal="center" vertical="center"/>
      <protection hidden="1"/>
    </xf>
    <xf numFmtId="0" fontId="2" fillId="9" borderId="38" xfId="0" applyFont="1" applyFill="1" applyBorder="1" applyAlignment="1" applyProtection="1">
      <alignment horizontal="center" vertical="center"/>
      <protection hidden="1"/>
    </xf>
    <xf numFmtId="0" fontId="2" fillId="9" borderId="39" xfId="0" applyFont="1" applyFill="1" applyBorder="1" applyAlignment="1" applyProtection="1">
      <alignment horizontal="center" vertical="center"/>
      <protection hidden="1"/>
    </xf>
    <xf numFmtId="0" fontId="7" fillId="9" borderId="40" xfId="0" applyFont="1" applyFill="1" applyBorder="1" applyAlignment="1" applyProtection="1">
      <alignment horizontal="center" vertical="center"/>
      <protection hidden="1"/>
    </xf>
    <xf numFmtId="0" fontId="7" fillId="9" borderId="7" xfId="0" applyFont="1" applyFill="1" applyBorder="1" applyAlignment="1" applyProtection="1">
      <alignment horizontal="center" vertical="center"/>
      <protection hidden="1"/>
    </xf>
    <xf numFmtId="0" fontId="2" fillId="9" borderId="7" xfId="0" applyFont="1" applyFill="1" applyBorder="1" applyAlignment="1" applyProtection="1">
      <alignment horizontal="center" vertical="center"/>
      <protection hidden="1"/>
    </xf>
    <xf numFmtId="0" fontId="2" fillId="9" borderId="8" xfId="0" applyFont="1" applyFill="1" applyBorder="1" applyAlignment="1" applyProtection="1">
      <alignment horizontal="center" vertical="center"/>
      <protection hidden="1"/>
    </xf>
    <xf numFmtId="0" fontId="2" fillId="9" borderId="41" xfId="0" applyFont="1" applyFill="1" applyBorder="1" applyAlignment="1" applyProtection="1">
      <alignment horizontal="center" vertical="center"/>
      <protection hidden="1"/>
    </xf>
    <xf numFmtId="0" fontId="5" fillId="9" borderId="13" xfId="0" applyFont="1" applyFill="1" applyBorder="1" applyAlignment="1" applyProtection="1">
      <alignment horizontal="center" vertical="center"/>
      <protection hidden="1"/>
    </xf>
    <xf numFmtId="0" fontId="2" fillId="9" borderId="42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9" borderId="0" xfId="0" applyFont="1" applyFill="1" applyAlignment="1" applyProtection="1">
      <alignment vertical="center"/>
      <protection hidden="1"/>
    </xf>
    <xf numFmtId="0" fontId="0" fillId="9" borderId="0" xfId="0" applyFill="1" applyAlignment="1" applyProtection="1">
      <alignment vertical="center"/>
      <protection hidden="1"/>
    </xf>
    <xf numFmtId="0" fontId="0" fillId="2" borderId="28" xfId="0" applyFill="1" applyBorder="1" applyProtection="1">
      <protection hidden="1"/>
    </xf>
    <xf numFmtId="0" fontId="0" fillId="2" borderId="22" xfId="0" applyFill="1" applyBorder="1" applyProtection="1">
      <protection hidden="1"/>
    </xf>
    <xf numFmtId="0" fontId="2" fillId="9" borderId="28" xfId="0" applyFont="1" applyFill="1" applyBorder="1" applyAlignment="1" applyProtection="1">
      <alignment vertical="center"/>
      <protection hidden="1"/>
    </xf>
    <xf numFmtId="0" fontId="10" fillId="2" borderId="43" xfId="0" applyFont="1" applyFill="1" applyBorder="1" applyAlignment="1" applyProtection="1">
      <alignment horizontal="center" vertical="center"/>
      <protection hidden="1"/>
    </xf>
    <xf numFmtId="0" fontId="2" fillId="2" borderId="38" xfId="0" applyFont="1" applyFill="1" applyBorder="1" applyAlignment="1" applyProtection="1">
      <alignment horizontal="right" vertical="center"/>
      <protection hidden="1"/>
    </xf>
    <xf numFmtId="0" fontId="2" fillId="2" borderId="14" xfId="0" applyFont="1" applyFill="1" applyBorder="1" applyAlignment="1" applyProtection="1">
      <alignment horizontal="right" vertical="center"/>
      <protection hidden="1"/>
    </xf>
    <xf numFmtId="0" fontId="2" fillId="2" borderId="43" xfId="0" applyFont="1" applyFill="1" applyBorder="1" applyAlignment="1" applyProtection="1">
      <alignment horizontal="right" vertical="center"/>
      <protection hidden="1"/>
    </xf>
    <xf numFmtId="0" fontId="2" fillId="2" borderId="31" xfId="0" applyFont="1" applyFill="1" applyBorder="1" applyProtection="1">
      <protection hidden="1"/>
    </xf>
    <xf numFmtId="0" fontId="5" fillId="2" borderId="31" xfId="0" applyFont="1" applyFill="1" applyBorder="1" applyProtection="1">
      <protection hidden="1"/>
    </xf>
    <xf numFmtId="0" fontId="2" fillId="2" borderId="23" xfId="0" applyFont="1" applyFill="1" applyBorder="1" applyProtection="1">
      <protection hidden="1"/>
    </xf>
    <xf numFmtId="165" fontId="31" fillId="0" borderId="27" xfId="0" applyNumberFormat="1" applyFont="1" applyBorder="1" applyAlignment="1" applyProtection="1">
      <alignment vertical="center"/>
      <protection hidden="1"/>
    </xf>
    <xf numFmtId="0" fontId="0" fillId="9" borderId="28" xfId="0" applyFill="1" applyBorder="1" applyAlignment="1" applyProtection="1">
      <alignment vertical="center"/>
      <protection hidden="1"/>
    </xf>
    <xf numFmtId="0" fontId="3" fillId="9" borderId="11" xfId="0" applyFont="1" applyFill="1" applyBorder="1" applyAlignment="1" applyProtection="1">
      <alignment horizontal="center" vertical="center"/>
      <protection hidden="1"/>
    </xf>
    <xf numFmtId="0" fontId="3" fillId="9" borderId="44" xfId="0" applyFont="1" applyFill="1" applyBorder="1" applyAlignment="1" applyProtection="1">
      <alignment horizontal="center"/>
      <protection hidden="1"/>
    </xf>
    <xf numFmtId="0" fontId="3" fillId="9" borderId="45" xfId="0" applyFont="1" applyFill="1" applyBorder="1" applyAlignment="1" applyProtection="1">
      <alignment horizontal="center"/>
      <protection hidden="1"/>
    </xf>
    <xf numFmtId="0" fontId="3" fillId="9" borderId="18" xfId="0" applyFont="1" applyFill="1" applyBorder="1" applyAlignment="1" applyProtection="1">
      <alignment horizontal="center" vertical="center"/>
      <protection hidden="1"/>
    </xf>
    <xf numFmtId="0" fontId="2" fillId="9" borderId="15" xfId="0" applyFont="1" applyFill="1" applyBorder="1" applyAlignment="1" applyProtection="1">
      <alignment horizontal="center" vertical="center" wrapText="1"/>
      <protection hidden="1"/>
    </xf>
    <xf numFmtId="0" fontId="9" fillId="9" borderId="13" xfId="0" applyFont="1" applyFill="1" applyBorder="1" applyAlignment="1" applyProtection="1">
      <alignment horizontal="center" vertical="center"/>
      <protection hidden="1"/>
    </xf>
    <xf numFmtId="2" fontId="5" fillId="6" borderId="21" xfId="0" applyNumberFormat="1" applyFont="1" applyFill="1" applyBorder="1" applyAlignment="1" applyProtection="1">
      <alignment vertical="center"/>
      <protection hidden="1"/>
    </xf>
    <xf numFmtId="0" fontId="5" fillId="0" borderId="0" xfId="0" applyFont="1" applyProtection="1">
      <protection hidden="1"/>
    </xf>
    <xf numFmtId="0" fontId="2" fillId="9" borderId="47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0" fillId="9" borderId="28" xfId="0" applyFill="1" applyBorder="1" applyProtection="1">
      <protection hidden="1"/>
    </xf>
    <xf numFmtId="0" fontId="5" fillId="9" borderId="31" xfId="0" applyFont="1" applyFill="1" applyBorder="1" applyAlignment="1" applyProtection="1">
      <alignment vertical="center"/>
      <protection hidden="1"/>
    </xf>
    <xf numFmtId="0" fontId="2" fillId="9" borderId="48" xfId="0" applyFont="1" applyFill="1" applyBorder="1" applyAlignment="1" applyProtection="1">
      <alignment horizontal="center" vertical="center" wrapText="1"/>
      <protection hidden="1"/>
    </xf>
    <xf numFmtId="165" fontId="5" fillId="3" borderId="49" xfId="0" applyNumberFormat="1" applyFont="1" applyFill="1" applyBorder="1" applyAlignment="1" applyProtection="1">
      <alignment vertical="center"/>
      <protection hidden="1"/>
    </xf>
    <xf numFmtId="165" fontId="0" fillId="8" borderId="13" xfId="0" applyNumberFormat="1" applyFill="1" applyBorder="1" applyAlignment="1" applyProtection="1">
      <alignment horizontal="center" vertical="center"/>
      <protection hidden="1"/>
    </xf>
    <xf numFmtId="165" fontId="2" fillId="4" borderId="50" xfId="0" applyNumberFormat="1" applyFont="1" applyFill="1" applyBorder="1" applyAlignment="1" applyProtection="1">
      <alignment vertical="center"/>
      <protection hidden="1"/>
    </xf>
    <xf numFmtId="165" fontId="2" fillId="4" borderId="14" xfId="0" applyNumberFormat="1" applyFont="1" applyFill="1" applyBorder="1" applyAlignment="1" applyProtection="1">
      <alignment vertical="center"/>
      <protection hidden="1"/>
    </xf>
    <xf numFmtId="165" fontId="9" fillId="0" borderId="0" xfId="0" applyNumberFormat="1" applyFont="1" applyProtection="1">
      <protection hidden="1"/>
    </xf>
    <xf numFmtId="165" fontId="0" fillId="2" borderId="25" xfId="0" applyNumberFormat="1" applyFill="1" applyBorder="1" applyAlignment="1" applyProtection="1">
      <alignment vertical="center"/>
      <protection hidden="1"/>
    </xf>
    <xf numFmtId="165" fontId="0" fillId="2" borderId="23" xfId="0" applyNumberFormat="1" applyFill="1" applyBorder="1" applyAlignment="1" applyProtection="1">
      <alignment vertical="center"/>
      <protection hidden="1"/>
    </xf>
    <xf numFmtId="165" fontId="2" fillId="2" borderId="23" xfId="0" applyNumberFormat="1" applyFont="1" applyFill="1" applyBorder="1" applyAlignment="1" applyProtection="1">
      <alignment vertical="center"/>
      <protection hidden="1"/>
    </xf>
    <xf numFmtId="165" fontId="0" fillId="2" borderId="11" xfId="0" applyNumberFormat="1" applyFill="1" applyBorder="1" applyAlignment="1" applyProtection="1">
      <alignment vertical="center"/>
      <protection hidden="1"/>
    </xf>
    <xf numFmtId="165" fontId="2" fillId="2" borderId="26" xfId="0" applyNumberFormat="1" applyFont="1" applyFill="1" applyBorder="1" applyAlignment="1" applyProtection="1">
      <alignment vertical="center"/>
      <protection hidden="1"/>
    </xf>
    <xf numFmtId="165" fontId="0" fillId="2" borderId="9" xfId="0" applyNumberFormat="1" applyFill="1" applyBorder="1" applyAlignment="1" applyProtection="1">
      <alignment horizontal="center" vertical="center"/>
      <protection hidden="1"/>
    </xf>
    <xf numFmtId="0" fontId="7" fillId="2" borderId="43" xfId="0" applyFont="1" applyFill="1" applyBorder="1" applyAlignment="1" applyProtection="1">
      <alignment vertical="center"/>
      <protection hidden="1"/>
    </xf>
    <xf numFmtId="0" fontId="7" fillId="2" borderId="38" xfId="0" applyFont="1" applyFill="1" applyBorder="1" applyAlignment="1" applyProtection="1">
      <alignment vertical="center"/>
      <protection hidden="1"/>
    </xf>
    <xf numFmtId="1" fontId="5" fillId="2" borderId="13" xfId="0" applyNumberFormat="1" applyFont="1" applyFill="1" applyBorder="1" applyAlignment="1" applyProtection="1">
      <alignment horizontal="center" vertical="center"/>
      <protection hidden="1"/>
    </xf>
    <xf numFmtId="1" fontId="5" fillId="7" borderId="13" xfId="0" applyNumberFormat="1" applyFont="1" applyFill="1" applyBorder="1" applyAlignment="1" applyProtection="1">
      <alignment horizontal="center" vertical="center"/>
      <protection hidden="1"/>
    </xf>
    <xf numFmtId="0" fontId="3" fillId="2" borderId="31" xfId="0" applyFont="1" applyFill="1" applyBorder="1" applyProtection="1">
      <protection hidden="1"/>
    </xf>
    <xf numFmtId="0" fontId="9" fillId="2" borderId="28" xfId="0" applyFont="1" applyFill="1" applyBorder="1" applyAlignment="1" applyProtection="1">
      <alignment horizontal="center" vertical="center"/>
      <protection hidden="1"/>
    </xf>
    <xf numFmtId="0" fontId="0" fillId="2" borderId="38" xfId="0" applyFill="1" applyBorder="1" applyProtection="1">
      <protection hidden="1"/>
    </xf>
    <xf numFmtId="165" fontId="35" fillId="2" borderId="13" xfId="0" applyNumberFormat="1" applyFont="1" applyFill="1" applyBorder="1" applyAlignment="1" applyProtection="1">
      <alignment horizontal="center" vertical="center"/>
      <protection hidden="1"/>
    </xf>
    <xf numFmtId="165" fontId="35" fillId="3" borderId="13" xfId="0" applyNumberFormat="1" applyFont="1" applyFill="1" applyBorder="1" applyAlignment="1" applyProtection="1">
      <alignment horizontal="center" vertical="center"/>
      <protection hidden="1"/>
    </xf>
    <xf numFmtId="165" fontId="35" fillId="7" borderId="13" xfId="0" applyNumberFormat="1" applyFont="1" applyFill="1" applyBorder="1" applyAlignment="1" applyProtection="1">
      <alignment horizontal="center" vertical="center"/>
      <protection hidden="1"/>
    </xf>
    <xf numFmtId="165" fontId="35" fillId="10" borderId="13" xfId="0" applyNumberFormat="1" applyFont="1" applyFill="1" applyBorder="1" applyAlignment="1" applyProtection="1">
      <alignment horizontal="center" vertical="center"/>
      <protection hidden="1"/>
    </xf>
    <xf numFmtId="0" fontId="0" fillId="3" borderId="13" xfId="0" applyFill="1" applyBorder="1" applyProtection="1">
      <protection hidden="1"/>
    </xf>
    <xf numFmtId="0" fontId="2" fillId="3" borderId="13" xfId="0" applyFont="1" applyFill="1" applyBorder="1" applyAlignment="1" applyProtection="1">
      <alignment horizontal="center"/>
      <protection hidden="1"/>
    </xf>
    <xf numFmtId="0" fontId="9" fillId="2" borderId="38" xfId="0" applyFont="1" applyFill="1" applyBorder="1" applyAlignment="1" applyProtection="1">
      <alignment horizontal="center" vertical="center"/>
      <protection hidden="1"/>
    </xf>
    <xf numFmtId="0" fontId="7" fillId="2" borderId="38" xfId="0" applyFont="1" applyFill="1" applyBorder="1" applyAlignment="1" applyProtection="1">
      <alignment horizontal="center" vertical="center"/>
      <protection hidden="1"/>
    </xf>
    <xf numFmtId="0" fontId="0" fillId="2" borderId="38" xfId="0" applyFill="1" applyBorder="1" applyAlignment="1" applyProtection="1">
      <alignment vertical="center"/>
      <protection hidden="1"/>
    </xf>
    <xf numFmtId="1" fontId="2" fillId="9" borderId="0" xfId="0" applyNumberFormat="1" applyFont="1" applyFill="1" applyAlignment="1" applyProtection="1">
      <alignment horizontal="center" vertical="center"/>
      <protection hidden="1"/>
    </xf>
    <xf numFmtId="1" fontId="2" fillId="9" borderId="13" xfId="0" applyNumberFormat="1" applyFont="1" applyFill="1" applyBorder="1" applyAlignment="1" applyProtection="1">
      <alignment horizontal="center" vertical="center"/>
      <protection hidden="1"/>
    </xf>
    <xf numFmtId="0" fontId="2" fillId="9" borderId="18" xfId="0" applyFont="1" applyFill="1" applyBorder="1" applyAlignment="1" applyProtection="1">
      <alignment horizontal="center" vertical="center"/>
      <protection hidden="1"/>
    </xf>
    <xf numFmtId="0" fontId="3" fillId="9" borderId="51" xfId="0" applyFont="1" applyFill="1" applyBorder="1" applyAlignment="1" applyProtection="1">
      <alignment horizontal="center" vertical="center"/>
      <protection hidden="1"/>
    </xf>
    <xf numFmtId="0" fontId="3" fillId="9" borderId="8" xfId="0" applyFont="1" applyFill="1" applyBorder="1" applyAlignment="1" applyProtection="1">
      <alignment horizontal="center" vertical="center"/>
      <protection hidden="1"/>
    </xf>
    <xf numFmtId="0" fontId="36" fillId="0" borderId="0" xfId="0" applyFont="1" applyProtection="1">
      <protection hidden="1"/>
    </xf>
    <xf numFmtId="0" fontId="0" fillId="0" borderId="52" xfId="0" applyBorder="1" applyProtection="1">
      <protection hidden="1"/>
    </xf>
    <xf numFmtId="0" fontId="0" fillId="0" borderId="52" xfId="0" applyBorder="1" applyAlignment="1" applyProtection="1">
      <alignment vertical="center"/>
      <protection hidden="1"/>
    </xf>
    <xf numFmtId="2" fontId="7" fillId="0" borderId="14" xfId="0" applyNumberFormat="1" applyFont="1" applyBorder="1" applyProtection="1">
      <protection hidden="1"/>
    </xf>
    <xf numFmtId="0" fontId="5" fillId="9" borderId="28" xfId="0" applyFont="1" applyFill="1" applyBorder="1" applyAlignment="1" applyProtection="1">
      <alignment vertical="center"/>
      <protection hidden="1"/>
    </xf>
    <xf numFmtId="0" fontId="5" fillId="0" borderId="19" xfId="0" applyFont="1" applyBorder="1" applyAlignment="1" applyProtection="1">
      <alignment horizontal="left" vertical="center"/>
      <protection hidden="1"/>
    </xf>
    <xf numFmtId="0" fontId="5" fillId="9" borderId="4" xfId="0" applyFont="1" applyFill="1" applyBorder="1" applyAlignment="1" applyProtection="1">
      <alignment horizontal="center" vertical="center"/>
      <protection hidden="1"/>
    </xf>
    <xf numFmtId="0" fontId="5" fillId="9" borderId="36" xfId="0" applyFont="1" applyFill="1" applyBorder="1" applyAlignment="1" applyProtection="1">
      <alignment horizontal="center" vertical="center"/>
      <protection hidden="1"/>
    </xf>
    <xf numFmtId="0" fontId="5" fillId="9" borderId="53" xfId="0" applyFont="1" applyFill="1" applyBorder="1" applyAlignment="1" applyProtection="1">
      <alignment horizontal="center" vertical="center"/>
      <protection hidden="1"/>
    </xf>
    <xf numFmtId="0" fontId="5" fillId="9" borderId="6" xfId="0" applyFont="1" applyFill="1" applyBorder="1" applyAlignment="1" applyProtection="1">
      <alignment horizontal="center" vertical="center"/>
      <protection hidden="1"/>
    </xf>
    <xf numFmtId="0" fontId="0" fillId="0" borderId="11" xfId="0" applyBorder="1" applyProtection="1">
      <protection hidden="1"/>
    </xf>
    <xf numFmtId="0" fontId="2" fillId="2" borderId="13" xfId="0" quotePrefix="1" applyFont="1" applyFill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center" vertical="center"/>
      <protection hidden="1"/>
    </xf>
    <xf numFmtId="0" fontId="2" fillId="13" borderId="13" xfId="0" applyFont="1" applyFill="1" applyBorder="1" applyAlignment="1" applyProtection="1">
      <alignment horizontal="center" vertical="center"/>
      <protection hidden="1"/>
    </xf>
    <xf numFmtId="0" fontId="2" fillId="14" borderId="13" xfId="0" applyFont="1" applyFill="1" applyBorder="1" applyAlignment="1" applyProtection="1">
      <alignment horizontal="center" vertical="center"/>
      <protection hidden="1"/>
    </xf>
    <xf numFmtId="0" fontId="0" fillId="2" borderId="28" xfId="0" applyFill="1" applyBorder="1" applyAlignment="1" applyProtection="1">
      <alignment vertical="center"/>
      <protection hidden="1"/>
    </xf>
    <xf numFmtId="0" fontId="26" fillId="0" borderId="3" xfId="0" applyFont="1" applyBorder="1" applyProtection="1">
      <protection hidden="1"/>
    </xf>
    <xf numFmtId="0" fontId="26" fillId="0" borderId="16" xfId="0" applyFont="1" applyBorder="1" applyProtection="1">
      <protection hidden="1"/>
    </xf>
    <xf numFmtId="0" fontId="16" fillId="0" borderId="16" xfId="0" applyFont="1" applyBorder="1" applyAlignment="1" applyProtection="1">
      <alignment horizontal="left" vertical="center"/>
      <protection hidden="1"/>
    </xf>
    <xf numFmtId="0" fontId="15" fillId="0" borderId="16" xfId="0" applyFont="1" applyBorder="1" applyAlignment="1" applyProtection="1">
      <alignment horizontal="left" vertical="center"/>
      <protection hidden="1"/>
    </xf>
    <xf numFmtId="0" fontId="0" fillId="0" borderId="7" xfId="0" applyBorder="1" applyProtection="1">
      <protection hidden="1"/>
    </xf>
    <xf numFmtId="0" fontId="26" fillId="0" borderId="0" xfId="0" applyFont="1" applyProtection="1">
      <protection hidden="1"/>
    </xf>
    <xf numFmtId="0" fontId="26" fillId="0" borderId="11" xfId="0" applyFont="1" applyBorder="1" applyProtection="1">
      <protection hidden="1"/>
    </xf>
    <xf numFmtId="0" fontId="27" fillId="0" borderId="11" xfId="0" applyFont="1" applyBorder="1" applyAlignment="1" applyProtection="1">
      <alignment vertical="top" wrapText="1"/>
      <protection hidden="1"/>
    </xf>
    <xf numFmtId="0" fontId="14" fillId="0" borderId="11" xfId="0" applyFont="1" applyBorder="1" applyAlignment="1" applyProtection="1">
      <alignment horizontal="center" vertical="center"/>
      <protection hidden="1"/>
    </xf>
    <xf numFmtId="0" fontId="15" fillId="0" borderId="7" xfId="0" applyFont="1" applyBorder="1" applyAlignment="1" applyProtection="1">
      <alignment horizontal="right" vertical="center"/>
      <protection hidden="1"/>
    </xf>
    <xf numFmtId="0" fontId="1" fillId="0" borderId="0" xfId="0" applyFont="1" applyProtection="1">
      <protection hidden="1"/>
    </xf>
    <xf numFmtId="0" fontId="1" fillId="0" borderId="16" xfId="0" applyFont="1" applyBorder="1" applyProtection="1">
      <protection hidden="1"/>
    </xf>
    <xf numFmtId="0" fontId="1" fillId="5" borderId="16" xfId="0" applyFont="1" applyFill="1" applyBorder="1" applyProtection="1">
      <protection hidden="1"/>
    </xf>
    <xf numFmtId="0" fontId="38" fillId="0" borderId="0" xfId="0" applyFont="1" applyProtection="1">
      <protection hidden="1"/>
    </xf>
    <xf numFmtId="0" fontId="38" fillId="0" borderId="16" xfId="0" applyFont="1" applyBorder="1" applyProtection="1">
      <protection hidden="1"/>
    </xf>
    <xf numFmtId="0" fontId="38" fillId="5" borderId="16" xfId="0" applyFont="1" applyFill="1" applyBorder="1" applyProtection="1">
      <protection hidden="1"/>
    </xf>
    <xf numFmtId="0" fontId="42" fillId="0" borderId="16" xfId="0" applyFont="1" applyBorder="1" applyAlignment="1" applyProtection="1">
      <alignment horizontal="center" vertical="top" wrapText="1"/>
      <protection hidden="1"/>
    </xf>
    <xf numFmtId="0" fontId="42" fillId="5" borderId="16" xfId="0" applyFont="1" applyFill="1" applyBorder="1" applyAlignment="1" applyProtection="1">
      <alignment horizontal="center" vertical="top" wrapText="1"/>
      <protection hidden="1"/>
    </xf>
    <xf numFmtId="0" fontId="43" fillId="0" borderId="0" xfId="0" applyFont="1" applyProtection="1">
      <protection hidden="1"/>
    </xf>
    <xf numFmtId="0" fontId="43" fillId="0" borderId="16" xfId="0" applyFont="1" applyBorder="1" applyProtection="1">
      <protection hidden="1"/>
    </xf>
    <xf numFmtId="0" fontId="43" fillId="5" borderId="16" xfId="0" applyFont="1" applyFill="1" applyBorder="1" applyProtection="1">
      <protection hidden="1"/>
    </xf>
    <xf numFmtId="2" fontId="44" fillId="0" borderId="0" xfId="0" applyNumberFormat="1" applyFont="1" applyProtection="1">
      <protection hidden="1"/>
    </xf>
    <xf numFmtId="165" fontId="0" fillId="14" borderId="13" xfId="0" applyNumberFormat="1" applyFill="1" applyBorder="1" applyAlignment="1" applyProtection="1">
      <alignment horizontal="center" vertical="center"/>
      <protection hidden="1"/>
    </xf>
    <xf numFmtId="1" fontId="7" fillId="7" borderId="14" xfId="0" applyNumberFormat="1" applyFont="1" applyFill="1" applyBorder="1" applyAlignment="1" applyProtection="1">
      <alignment horizontal="center" vertical="center"/>
      <protection hidden="1"/>
    </xf>
    <xf numFmtId="0" fontId="0" fillId="0" borderId="11" xfId="0" applyBorder="1" applyAlignment="1" applyProtection="1">
      <alignment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9" borderId="7" xfId="0" applyFill="1" applyBorder="1" applyAlignment="1" applyProtection="1">
      <alignment horizontal="center" vertical="center"/>
      <protection hidden="1"/>
    </xf>
    <xf numFmtId="0" fontId="2" fillId="9" borderId="15" xfId="0" applyFont="1" applyFill="1" applyBorder="1" applyAlignment="1" applyProtection="1">
      <alignment horizontal="left" vertical="center"/>
      <protection hidden="1"/>
    </xf>
    <xf numFmtId="0" fontId="0" fillId="9" borderId="0" xfId="0" applyFill="1" applyProtection="1">
      <protection hidden="1"/>
    </xf>
    <xf numFmtId="0" fontId="34" fillId="9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9" borderId="23" xfId="0" applyFont="1" applyFill="1" applyBorder="1" applyAlignment="1" applyProtection="1">
      <alignment horizontal="left" vertical="center"/>
      <protection hidden="1"/>
    </xf>
    <xf numFmtId="165" fontId="9" fillId="0" borderId="0" xfId="0" applyNumberFormat="1" applyFont="1" applyAlignment="1" applyProtection="1">
      <alignment horizontal="center" vertical="center"/>
      <protection hidden="1"/>
    </xf>
    <xf numFmtId="0" fontId="0" fillId="9" borderId="11" xfId="0" applyFill="1" applyBorder="1" applyProtection="1">
      <protection hidden="1"/>
    </xf>
    <xf numFmtId="0" fontId="2" fillId="9" borderId="16" xfId="0" applyFont="1" applyFill="1" applyBorder="1" applyAlignment="1" applyProtection="1">
      <alignment horizontal="left" vertical="center"/>
      <protection hidden="1"/>
    </xf>
    <xf numFmtId="0" fontId="2" fillId="9" borderId="11" xfId="0" applyFont="1" applyFill="1" applyBorder="1" applyAlignment="1" applyProtection="1">
      <alignment horizontal="right"/>
      <protection hidden="1"/>
    </xf>
    <xf numFmtId="0" fontId="2" fillId="9" borderId="11" xfId="0" applyFont="1" applyFill="1" applyBorder="1" applyProtection="1">
      <protection hidden="1"/>
    </xf>
    <xf numFmtId="165" fontId="2" fillId="9" borderId="11" xfId="0" applyNumberFormat="1" applyFont="1" applyFill="1" applyBorder="1" applyProtection="1">
      <protection hidden="1"/>
    </xf>
    <xf numFmtId="2" fontId="2" fillId="9" borderId="11" xfId="0" applyNumberFormat="1" applyFont="1" applyFill="1" applyBorder="1" applyProtection="1">
      <protection hidden="1"/>
    </xf>
    <xf numFmtId="0" fontId="2" fillId="2" borderId="54" xfId="0" applyFont="1" applyFill="1" applyBorder="1" applyAlignment="1" applyProtection="1">
      <alignment vertical="center"/>
      <protection hidden="1"/>
    </xf>
    <xf numFmtId="0" fontId="2" fillId="2" borderId="54" xfId="0" applyFont="1" applyFill="1" applyBorder="1" applyAlignment="1" applyProtection="1">
      <alignment horizontal="center" vertical="center"/>
      <protection hidden="1"/>
    </xf>
    <xf numFmtId="0" fontId="0" fillId="2" borderId="55" xfId="0" applyFill="1" applyBorder="1" applyAlignment="1" applyProtection="1">
      <alignment vertical="center"/>
      <protection hidden="1"/>
    </xf>
    <xf numFmtId="0" fontId="2" fillId="2" borderId="55" xfId="0" applyFont="1" applyFill="1" applyBorder="1" applyAlignment="1" applyProtection="1">
      <alignment horizontal="center" vertical="center"/>
      <protection hidden="1"/>
    </xf>
    <xf numFmtId="2" fontId="2" fillId="0" borderId="56" xfId="0" applyNumberFormat="1" applyFont="1" applyBorder="1" applyAlignment="1" applyProtection="1">
      <alignment vertical="center"/>
      <protection hidden="1"/>
    </xf>
    <xf numFmtId="0" fontId="2" fillId="2" borderId="15" xfId="0" applyFont="1" applyFill="1" applyBorder="1" applyAlignment="1" applyProtection="1">
      <alignment horizontal="left" vertical="center"/>
      <protection hidden="1"/>
    </xf>
    <xf numFmtId="0" fontId="13" fillId="0" borderId="0" xfId="0" applyFont="1" applyAlignment="1" applyProtection="1">
      <alignment vertical="center"/>
      <protection hidden="1"/>
    </xf>
    <xf numFmtId="1" fontId="5" fillId="6" borderId="13" xfId="0" applyNumberFormat="1" applyFont="1" applyFill="1" applyBorder="1" applyAlignment="1" applyProtection="1">
      <alignment vertical="center"/>
      <protection hidden="1"/>
    </xf>
    <xf numFmtId="165" fontId="2" fillId="4" borderId="57" xfId="0" applyNumberFormat="1" applyFont="1" applyFill="1" applyBorder="1" applyAlignment="1" applyProtection="1">
      <alignment vertical="center"/>
      <protection hidden="1"/>
    </xf>
    <xf numFmtId="0" fontId="2" fillId="9" borderId="13" xfId="0" applyFont="1" applyFill="1" applyBorder="1" applyAlignment="1" applyProtection="1">
      <alignment horizontal="center"/>
      <protection hidden="1"/>
    </xf>
    <xf numFmtId="0" fontId="2" fillId="8" borderId="3" xfId="0" applyFont="1" applyFill="1" applyBorder="1" applyAlignment="1" applyProtection="1">
      <alignment horizontal="center"/>
      <protection hidden="1"/>
    </xf>
    <xf numFmtId="0" fontId="3" fillId="2" borderId="38" xfId="0" applyFont="1" applyFill="1" applyBorder="1" applyProtection="1">
      <protection hidden="1"/>
    </xf>
    <xf numFmtId="165" fontId="0" fillId="0" borderId="0" xfId="0" applyNumberFormat="1" applyAlignment="1" applyProtection="1">
      <alignment horizontal="center"/>
      <protection hidden="1"/>
    </xf>
    <xf numFmtId="165" fontId="2" fillId="3" borderId="13" xfId="0" applyNumberFormat="1" applyFont="1" applyFill="1" applyBorder="1" applyAlignment="1" applyProtection="1">
      <alignment vertical="center"/>
      <protection hidden="1"/>
    </xf>
    <xf numFmtId="165" fontId="2" fillId="7" borderId="13" xfId="0" applyNumberFormat="1" applyFont="1" applyFill="1" applyBorder="1" applyAlignment="1" applyProtection="1">
      <alignment horizontal="center"/>
      <protection hidden="1"/>
    </xf>
    <xf numFmtId="165" fontId="2" fillId="3" borderId="13" xfId="0" applyNumberFormat="1" applyFont="1" applyFill="1" applyBorder="1" applyAlignment="1" applyProtection="1">
      <alignment horizontal="center"/>
      <protection hidden="1"/>
    </xf>
    <xf numFmtId="164" fontId="2" fillId="6" borderId="13" xfId="0" applyNumberFormat="1" applyFont="1" applyFill="1" applyBorder="1" applyAlignment="1" applyProtection="1">
      <alignment vertical="center"/>
      <protection hidden="1"/>
    </xf>
    <xf numFmtId="2" fontId="2" fillId="6" borderId="13" xfId="0" applyNumberFormat="1" applyFont="1" applyFill="1" applyBorder="1" applyAlignment="1" applyProtection="1">
      <alignment vertical="center"/>
      <protection hidden="1"/>
    </xf>
    <xf numFmtId="165" fontId="2" fillId="15" borderId="13" xfId="0" applyNumberFormat="1" applyFont="1" applyFill="1" applyBorder="1" applyAlignment="1" applyProtection="1">
      <alignment horizontal="center"/>
      <protection hidden="1"/>
    </xf>
    <xf numFmtId="165" fontId="2" fillId="6" borderId="13" xfId="0" applyNumberFormat="1" applyFont="1" applyFill="1" applyBorder="1" applyAlignment="1" applyProtection="1">
      <alignment vertical="center"/>
      <protection hidden="1"/>
    </xf>
    <xf numFmtId="165" fontId="2" fillId="8" borderId="13" xfId="0" applyNumberFormat="1" applyFont="1" applyFill="1" applyBorder="1" applyAlignment="1" applyProtection="1">
      <alignment horizontal="center"/>
      <protection hidden="1"/>
    </xf>
    <xf numFmtId="165" fontId="2" fillId="16" borderId="13" xfId="0" applyNumberFormat="1" applyFont="1" applyFill="1" applyBorder="1" applyAlignment="1" applyProtection="1">
      <alignment vertical="center"/>
      <protection hidden="1"/>
    </xf>
    <xf numFmtId="165" fontId="2" fillId="17" borderId="13" xfId="0" applyNumberFormat="1" applyFont="1" applyFill="1" applyBorder="1" applyAlignment="1" applyProtection="1">
      <alignment vertical="center"/>
      <protection hidden="1"/>
    </xf>
    <xf numFmtId="165" fontId="2" fillId="6" borderId="38" xfId="0" applyNumberFormat="1" applyFont="1" applyFill="1" applyBorder="1" applyAlignment="1" applyProtection="1">
      <alignment vertical="center"/>
      <protection hidden="1"/>
    </xf>
    <xf numFmtId="0" fontId="10" fillId="2" borderId="58" xfId="0" applyFont="1" applyFill="1" applyBorder="1" applyAlignment="1" applyProtection="1">
      <alignment horizontal="center" vertical="center"/>
      <protection hidden="1"/>
    </xf>
    <xf numFmtId="0" fontId="0" fillId="18" borderId="39" xfId="0" applyFill="1" applyBorder="1" applyProtection="1">
      <protection hidden="1"/>
    </xf>
    <xf numFmtId="0" fontId="41" fillId="9" borderId="40" xfId="0" applyFont="1" applyFill="1" applyBorder="1" applyAlignment="1" applyProtection="1">
      <alignment horizontal="center" vertical="center"/>
      <protection hidden="1"/>
    </xf>
    <xf numFmtId="1" fontId="37" fillId="9" borderId="40" xfId="0" applyNumberFormat="1" applyFont="1" applyFill="1" applyBorder="1" applyAlignment="1" applyProtection="1">
      <alignment horizontal="center" vertical="center"/>
      <protection hidden="1"/>
    </xf>
    <xf numFmtId="165" fontId="5" fillId="9" borderId="13" xfId="0" applyNumberFormat="1" applyFont="1" applyFill="1" applyBorder="1" applyAlignment="1" applyProtection="1">
      <alignment horizontal="center" vertical="center" wrapText="1"/>
      <protection hidden="1"/>
    </xf>
    <xf numFmtId="1" fontId="5" fillId="9" borderId="13" xfId="0" applyNumberFormat="1" applyFont="1" applyFill="1" applyBorder="1" applyAlignment="1" applyProtection="1">
      <alignment horizontal="center" vertical="center" wrapText="1"/>
      <protection hidden="1"/>
    </xf>
    <xf numFmtId="2" fontId="5" fillId="9" borderId="13" xfId="0" applyNumberFormat="1" applyFont="1" applyFill="1" applyBorder="1" applyAlignment="1" applyProtection="1">
      <alignment horizontal="center" vertical="center" wrapText="1"/>
      <protection hidden="1"/>
    </xf>
    <xf numFmtId="170" fontId="5" fillId="9" borderId="13" xfId="0" applyNumberFormat="1" applyFont="1" applyFill="1" applyBorder="1" applyAlignment="1" applyProtection="1">
      <alignment horizontal="center" vertical="center" wrapText="1"/>
      <protection hidden="1"/>
    </xf>
    <xf numFmtId="9" fontId="5" fillId="9" borderId="13" xfId="0" applyNumberFormat="1" applyFont="1" applyFill="1" applyBorder="1" applyAlignment="1" applyProtection="1">
      <alignment horizontal="center" vertical="center" wrapText="1"/>
      <protection hidden="1"/>
    </xf>
    <xf numFmtId="0" fontId="5" fillId="9" borderId="13" xfId="0" quotePrefix="1" applyFont="1" applyFill="1" applyBorder="1" applyAlignment="1" applyProtection="1">
      <alignment horizontal="center" vertical="center"/>
      <protection hidden="1"/>
    </xf>
    <xf numFmtId="0" fontId="5" fillId="9" borderId="14" xfId="0" applyFont="1" applyFill="1" applyBorder="1" applyAlignment="1" applyProtection="1">
      <alignment horizontal="center" vertical="center" wrapText="1"/>
      <protection hidden="1"/>
    </xf>
    <xf numFmtId="0" fontId="9" fillId="0" borderId="23" xfId="0" applyFont="1" applyBorder="1" applyAlignment="1" applyProtection="1">
      <alignment horizontal="center"/>
      <protection hidden="1"/>
    </xf>
    <xf numFmtId="0" fontId="14" fillId="12" borderId="13" xfId="0" applyFont="1" applyFill="1" applyBorder="1" applyAlignment="1" applyProtection="1">
      <alignment horizontal="center" vertical="center"/>
      <protection hidden="1"/>
    </xf>
    <xf numFmtId="2" fontId="5" fillId="6" borderId="13" xfId="0" applyNumberFormat="1" applyFont="1" applyFill="1" applyBorder="1" applyProtection="1">
      <protection hidden="1"/>
    </xf>
    <xf numFmtId="0" fontId="7" fillId="9" borderId="37" xfId="0" applyFont="1" applyFill="1" applyBorder="1" applyAlignment="1" applyProtection="1">
      <alignment horizontal="center" vertical="center"/>
      <protection hidden="1"/>
    </xf>
    <xf numFmtId="166" fontId="5" fillId="6" borderId="31" xfId="0" applyNumberFormat="1" applyFont="1" applyFill="1" applyBorder="1" applyAlignment="1" applyProtection="1">
      <alignment horizontal="center"/>
      <protection hidden="1"/>
    </xf>
    <xf numFmtId="0" fontId="14" fillId="12" borderId="31" xfId="0" applyFont="1" applyFill="1" applyBorder="1" applyAlignment="1" applyProtection="1">
      <alignment horizontal="center" vertical="center"/>
      <protection hidden="1"/>
    </xf>
    <xf numFmtId="2" fontId="5" fillId="0" borderId="19" xfId="0" applyNumberFormat="1" applyFont="1" applyBorder="1" applyProtection="1">
      <protection hidden="1"/>
    </xf>
    <xf numFmtId="0" fontId="0" fillId="0" borderId="19" xfId="0" applyBorder="1" applyAlignment="1" applyProtection="1">
      <alignment vertical="center"/>
      <protection hidden="1"/>
    </xf>
    <xf numFmtId="0" fontId="2" fillId="2" borderId="58" xfId="0" applyFont="1" applyFill="1" applyBorder="1" applyAlignment="1" applyProtection="1">
      <alignment vertical="center"/>
      <protection hidden="1"/>
    </xf>
    <xf numFmtId="0" fontId="0" fillId="2" borderId="5" xfId="0" applyFill="1" applyBorder="1" applyAlignment="1" applyProtection="1">
      <alignment vertical="center"/>
      <protection hidden="1"/>
    </xf>
    <xf numFmtId="0" fontId="2" fillId="19" borderId="5" xfId="0" applyFont="1" applyFill="1" applyBorder="1" applyAlignment="1" applyProtection="1">
      <alignment vertical="center"/>
      <protection hidden="1"/>
    </xf>
    <xf numFmtId="165" fontId="0" fillId="6" borderId="13" xfId="0" applyNumberFormat="1" applyFill="1" applyBorder="1" applyProtection="1">
      <protection hidden="1"/>
    </xf>
    <xf numFmtId="165" fontId="2" fillId="8" borderId="13" xfId="0" applyNumberFormat="1" applyFont="1" applyFill="1" applyBorder="1" applyAlignment="1" applyProtection="1">
      <alignment vertical="center"/>
      <protection hidden="1"/>
    </xf>
    <xf numFmtId="0" fontId="5" fillId="0" borderId="52" xfId="0" applyFont="1" applyBorder="1" applyProtection="1">
      <protection hidden="1"/>
    </xf>
    <xf numFmtId="0" fontId="5" fillId="9" borderId="43" xfId="0" applyFont="1" applyFill="1" applyBorder="1" applyAlignment="1" applyProtection="1">
      <alignment horizontal="center" vertical="center"/>
      <protection hidden="1"/>
    </xf>
    <xf numFmtId="167" fontId="5" fillId="0" borderId="23" xfId="0" applyNumberFormat="1" applyFont="1" applyBorder="1" applyProtection="1">
      <protection hidden="1"/>
    </xf>
    <xf numFmtId="2" fontId="5" fillId="0" borderId="23" xfId="0" applyNumberFormat="1" applyFont="1" applyBorder="1" applyProtection="1">
      <protection hidden="1"/>
    </xf>
    <xf numFmtId="2" fontId="5" fillId="0" borderId="58" xfId="0" applyNumberFormat="1" applyFont="1" applyBorder="1" applyProtection="1">
      <protection hidden="1"/>
    </xf>
    <xf numFmtId="0" fontId="2" fillId="0" borderId="0" xfId="0" applyFont="1" applyAlignment="1" applyProtection="1">
      <alignment vertical="top"/>
      <protection hidden="1"/>
    </xf>
    <xf numFmtId="165" fontId="16" fillId="0" borderId="13" xfId="0" applyNumberFormat="1" applyFont="1" applyBorder="1" applyAlignment="1" applyProtection="1">
      <alignment horizontal="center" vertical="center" wrapText="1"/>
      <protection hidden="1"/>
    </xf>
    <xf numFmtId="169" fontId="3" fillId="0" borderId="0" xfId="0" applyNumberFormat="1" applyFont="1" applyAlignment="1" applyProtection="1">
      <alignment horizontal="center"/>
      <protection hidden="1"/>
    </xf>
    <xf numFmtId="169" fontId="3" fillId="0" borderId="23" xfId="0" applyNumberFormat="1" applyFont="1" applyBorder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67" fontId="0" fillId="0" borderId="15" xfId="0" applyNumberFormat="1" applyBorder="1" applyProtection="1"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13" fillId="0" borderId="0" xfId="0" applyFont="1" applyProtection="1">
      <protection hidden="1"/>
    </xf>
    <xf numFmtId="0" fontId="5" fillId="9" borderId="62" xfId="0" applyFont="1" applyFill="1" applyBorder="1" applyAlignment="1" applyProtection="1">
      <alignment horizontal="center"/>
      <protection hidden="1"/>
    </xf>
    <xf numFmtId="0" fontId="5" fillId="9" borderId="45" xfId="0" applyFont="1" applyFill="1" applyBorder="1" applyAlignment="1" applyProtection="1">
      <alignment horizontal="center"/>
      <protection hidden="1"/>
    </xf>
    <xf numFmtId="0" fontId="2" fillId="9" borderId="51" xfId="0" applyFont="1" applyFill="1" applyBorder="1" applyAlignment="1" applyProtection="1">
      <alignment horizontal="left"/>
      <protection hidden="1"/>
    </xf>
    <xf numFmtId="0" fontId="5" fillId="9" borderId="63" xfId="0" applyFont="1" applyFill="1" applyBorder="1" applyAlignment="1" applyProtection="1">
      <alignment horizontal="center"/>
      <protection hidden="1"/>
    </xf>
    <xf numFmtId="0" fontId="5" fillId="9" borderId="64" xfId="0" applyFont="1" applyFill="1" applyBorder="1" applyAlignment="1" applyProtection="1">
      <alignment horizontal="center"/>
      <protection hidden="1"/>
    </xf>
    <xf numFmtId="0" fontId="5" fillId="9" borderId="65" xfId="0" applyFont="1" applyFill="1" applyBorder="1" applyAlignment="1" applyProtection="1">
      <alignment horizontal="center"/>
      <protection hidden="1"/>
    </xf>
    <xf numFmtId="0" fontId="9" fillId="9" borderId="51" xfId="0" applyFont="1" applyFill="1" applyBorder="1" applyAlignment="1" applyProtection="1">
      <alignment horizontal="center"/>
      <protection hidden="1"/>
    </xf>
    <xf numFmtId="0" fontId="5" fillId="9" borderId="51" xfId="0" applyFont="1" applyFill="1" applyBorder="1" applyAlignment="1" applyProtection="1">
      <alignment horizontal="center"/>
      <protection hidden="1"/>
    </xf>
    <xf numFmtId="0" fontId="5" fillId="9" borderId="0" xfId="0" applyFont="1" applyFill="1" applyAlignment="1" applyProtection="1">
      <alignment horizontal="center"/>
      <protection hidden="1"/>
    </xf>
    <xf numFmtId="0" fontId="5" fillId="9" borderId="51" xfId="0" applyFont="1" applyFill="1" applyBorder="1" applyProtection="1">
      <protection hidden="1"/>
    </xf>
    <xf numFmtId="12" fontId="5" fillId="0" borderId="66" xfId="0" applyNumberFormat="1" applyFont="1" applyBorder="1" applyAlignment="1" applyProtection="1">
      <alignment horizontal="right"/>
      <protection hidden="1"/>
    </xf>
    <xf numFmtId="0" fontId="5" fillId="0" borderId="66" xfId="0" applyFont="1" applyBorder="1" applyAlignment="1" applyProtection="1">
      <alignment horizontal="center"/>
      <protection hidden="1"/>
    </xf>
    <xf numFmtId="0" fontId="5" fillId="9" borderId="67" xfId="0" applyFont="1" applyFill="1" applyBorder="1" applyAlignment="1" applyProtection="1">
      <alignment horizontal="center"/>
      <protection hidden="1"/>
    </xf>
    <xf numFmtId="0" fontId="2" fillId="0" borderId="66" xfId="0" applyFont="1" applyBorder="1" applyAlignment="1" applyProtection="1">
      <alignment horizontal="center"/>
      <protection hidden="1"/>
    </xf>
    <xf numFmtId="0" fontId="5" fillId="0" borderId="66" xfId="0" quotePrefix="1" applyFont="1" applyBorder="1" applyAlignment="1" applyProtection="1">
      <alignment horizontal="center"/>
      <protection hidden="1"/>
    </xf>
    <xf numFmtId="12" fontId="5" fillId="0" borderId="19" xfId="0" applyNumberFormat="1" applyFont="1" applyBorder="1" applyAlignment="1" applyProtection="1">
      <alignment horizontal="right"/>
      <protection hidden="1"/>
    </xf>
    <xf numFmtId="0" fontId="5" fillId="0" borderId="19" xfId="0" applyFont="1" applyBorder="1" applyAlignment="1" applyProtection="1">
      <alignment horizontal="center"/>
      <protection hidden="1"/>
    </xf>
    <xf numFmtId="0" fontId="5" fillId="9" borderId="68" xfId="0" applyFont="1" applyFill="1" applyBorder="1" applyAlignment="1" applyProtection="1">
      <alignment horizontal="center"/>
      <protection hidden="1"/>
    </xf>
    <xf numFmtId="0" fontId="2" fillId="0" borderId="19" xfId="0" applyFont="1" applyBorder="1" applyAlignment="1" applyProtection="1">
      <alignment horizontal="center"/>
      <protection hidden="1"/>
    </xf>
    <xf numFmtId="165" fontId="5" fillId="0" borderId="19" xfId="0" applyNumberFormat="1" applyFont="1" applyBorder="1" applyAlignment="1" applyProtection="1">
      <alignment horizontal="center"/>
      <protection hidden="1"/>
    </xf>
    <xf numFmtId="165" fontId="5" fillId="9" borderId="68" xfId="0" applyNumberFormat="1" applyFont="1" applyFill="1" applyBorder="1" applyAlignment="1" applyProtection="1">
      <alignment horizontal="center"/>
      <protection hidden="1"/>
    </xf>
    <xf numFmtId="2" fontId="5" fillId="0" borderId="19" xfId="0" applyNumberFormat="1" applyFont="1" applyBorder="1" applyAlignment="1" applyProtection="1">
      <alignment horizontal="center"/>
      <protection hidden="1"/>
    </xf>
    <xf numFmtId="165" fontId="2" fillId="0" borderId="19" xfId="0" applyNumberFormat="1" applyFont="1" applyBorder="1" applyAlignment="1" applyProtection="1">
      <alignment horizontal="center"/>
      <protection hidden="1"/>
    </xf>
    <xf numFmtId="12" fontId="5" fillId="0" borderId="46" xfId="0" applyNumberFormat="1" applyFont="1" applyBorder="1" applyAlignment="1" applyProtection="1">
      <alignment horizontal="right"/>
      <protection hidden="1"/>
    </xf>
    <xf numFmtId="0" fontId="5" fillId="0" borderId="46" xfId="0" applyFont="1" applyBorder="1" applyAlignment="1" applyProtection="1">
      <alignment horizontal="center"/>
      <protection hidden="1"/>
    </xf>
    <xf numFmtId="0" fontId="5" fillId="9" borderId="69" xfId="0" applyFont="1" applyFill="1" applyBorder="1" applyAlignment="1" applyProtection="1">
      <alignment horizontal="center"/>
      <protection hidden="1"/>
    </xf>
    <xf numFmtId="0" fontId="2" fillId="0" borderId="46" xfId="0" applyFont="1" applyBorder="1" applyAlignment="1" applyProtection="1">
      <alignment horizontal="center"/>
      <protection hidden="1"/>
    </xf>
    <xf numFmtId="165" fontId="2" fillId="0" borderId="46" xfId="0" applyNumberFormat="1" applyFont="1" applyBorder="1" applyAlignment="1" applyProtection="1">
      <alignment horizontal="center"/>
      <protection hidden="1"/>
    </xf>
    <xf numFmtId="0" fontId="0" fillId="0" borderId="22" xfId="0" applyBorder="1" applyProtection="1">
      <protection hidden="1"/>
    </xf>
    <xf numFmtId="0" fontId="2" fillId="9" borderId="43" xfId="0" applyFont="1" applyFill="1" applyBorder="1" applyAlignment="1" applyProtection="1">
      <alignment horizontal="center" vertical="top" wrapText="1"/>
      <protection hidden="1"/>
    </xf>
    <xf numFmtId="0" fontId="4" fillId="9" borderId="16" xfId="0" applyFont="1" applyFill="1" applyBorder="1" applyAlignment="1" applyProtection="1">
      <alignment horizontal="center" vertical="center" wrapText="1"/>
      <protection hidden="1"/>
    </xf>
    <xf numFmtId="0" fontId="4" fillId="9" borderId="0" xfId="0" applyFont="1" applyFill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8" fillId="9" borderId="51" xfId="0" applyFont="1" applyFill="1" applyBorder="1" applyAlignment="1" applyProtection="1">
      <alignment horizontal="center" vertical="top" wrapText="1"/>
      <protection hidden="1"/>
    </xf>
    <xf numFmtId="0" fontId="8" fillId="9" borderId="0" xfId="0" applyFont="1" applyFill="1" applyAlignment="1" applyProtection="1">
      <alignment horizontal="center" vertical="top" wrapText="1"/>
      <protection hidden="1"/>
    </xf>
    <xf numFmtId="0" fontId="2" fillId="9" borderId="38" xfId="0" applyFont="1" applyFill="1" applyBorder="1" applyAlignment="1" applyProtection="1">
      <alignment horizontal="center" vertical="top" wrapTex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1" xfId="0" applyFont="1" applyFill="1" applyBorder="1" applyAlignment="1" applyProtection="1">
      <alignment horizontal="center" vertical="center" wrapText="1"/>
      <protection hidden="1"/>
    </xf>
    <xf numFmtId="0" fontId="5" fillId="9" borderId="5" xfId="0" applyFont="1" applyFill="1" applyBorder="1" applyAlignment="1" applyProtection="1">
      <alignment horizontal="center" vertical="top" wrapText="1"/>
      <protection hidden="1"/>
    </xf>
    <xf numFmtId="0" fontId="5" fillId="9" borderId="8" xfId="0" applyFont="1" applyFill="1" applyBorder="1" applyAlignment="1" applyProtection="1">
      <alignment horizontal="center" vertical="top" wrapText="1"/>
      <protection hidden="1"/>
    </xf>
    <xf numFmtId="0" fontId="5" fillId="9" borderId="11" xfId="0" applyFont="1" applyFill="1" applyBorder="1" applyAlignment="1" applyProtection="1">
      <alignment horizontal="center" vertical="top" wrapText="1"/>
      <protection hidden="1"/>
    </xf>
    <xf numFmtId="0" fontId="5" fillId="9" borderId="14" xfId="0" applyFont="1" applyFill="1" applyBorder="1" applyAlignment="1" applyProtection="1">
      <alignment horizontal="center" vertical="top" wrapText="1"/>
      <protection hidden="1"/>
    </xf>
    <xf numFmtId="0" fontId="0" fillId="9" borderId="0" xfId="0" applyFill="1" applyAlignment="1" applyProtection="1">
      <alignment horizontal="center"/>
      <protection hidden="1"/>
    </xf>
    <xf numFmtId="0" fontId="4" fillId="0" borderId="71" xfId="0" applyFont="1" applyBorder="1" applyAlignment="1" applyProtection="1">
      <alignment horizontal="left" vertical="center" wrapText="1"/>
      <protection hidden="1"/>
    </xf>
    <xf numFmtId="0" fontId="4" fillId="0" borderId="72" xfId="0" applyFont="1" applyBorder="1" applyAlignment="1" applyProtection="1">
      <alignment horizontal="center" vertical="center" wrapText="1"/>
      <protection hidden="1"/>
    </xf>
    <xf numFmtId="1" fontId="5" fillId="0" borderId="73" xfId="0" applyNumberFormat="1" applyFont="1" applyBorder="1" applyAlignment="1" applyProtection="1">
      <alignment horizontal="center" vertical="center" wrapText="1"/>
      <protection hidden="1"/>
    </xf>
    <xf numFmtId="0" fontId="5" fillId="0" borderId="74" xfId="0" applyFont="1" applyBorder="1" applyAlignment="1" applyProtection="1">
      <alignment horizontal="center" vertical="center" wrapText="1"/>
      <protection hidden="1"/>
    </xf>
    <xf numFmtId="165" fontId="11" fillId="0" borderId="75" xfId="0" applyNumberFormat="1" applyFont="1" applyBorder="1" applyAlignment="1" applyProtection="1">
      <alignment horizontal="center" vertical="center" wrapText="1"/>
      <protection hidden="1"/>
    </xf>
    <xf numFmtId="1" fontId="11" fillId="0" borderId="3" xfId="0" applyNumberFormat="1" applyFont="1" applyBorder="1" applyAlignment="1" applyProtection="1">
      <alignment horizontal="center" vertical="center" wrapText="1"/>
      <protection hidden="1"/>
    </xf>
    <xf numFmtId="0" fontId="11" fillId="0" borderId="76" xfId="0" applyFont="1" applyBorder="1" applyAlignment="1" applyProtection="1">
      <alignment horizontal="center" vertical="center" wrapText="1"/>
      <protection hidden="1"/>
    </xf>
    <xf numFmtId="0" fontId="0" fillId="9" borderId="0" xfId="0" applyFill="1" applyAlignment="1" applyProtection="1">
      <alignment horizontal="left" vertical="center"/>
      <protection hidden="1"/>
    </xf>
    <xf numFmtId="0" fontId="4" fillId="0" borderId="77" xfId="0" applyFont="1" applyBorder="1" applyAlignment="1" applyProtection="1">
      <alignment horizontal="left" vertical="center" wrapText="1"/>
      <protection hidden="1"/>
    </xf>
    <xf numFmtId="0" fontId="4" fillId="0" borderId="78" xfId="0" applyFont="1" applyBorder="1" applyAlignment="1" applyProtection="1">
      <alignment horizontal="center" vertical="center" wrapText="1"/>
      <protection hidden="1"/>
    </xf>
    <xf numFmtId="0" fontId="11" fillId="0" borderId="79" xfId="0" applyFont="1" applyBorder="1" applyAlignment="1" applyProtection="1">
      <alignment horizontal="center" vertical="center" wrapText="1"/>
      <protection hidden="1"/>
    </xf>
    <xf numFmtId="0" fontId="4" fillId="0" borderId="80" xfId="0" applyFont="1" applyBorder="1" applyAlignment="1" applyProtection="1">
      <alignment horizontal="left" vertical="center" wrapText="1"/>
      <protection hidden="1"/>
    </xf>
    <xf numFmtId="0" fontId="4" fillId="0" borderId="81" xfId="0" applyFont="1" applyBorder="1" applyAlignment="1" applyProtection="1">
      <alignment horizontal="center" vertical="center" wrapText="1"/>
      <protection hidden="1"/>
    </xf>
    <xf numFmtId="0" fontId="0" fillId="0" borderId="82" xfId="0" applyBorder="1" applyAlignment="1" applyProtection="1">
      <alignment horizontal="center" vertical="center" wrapText="1"/>
      <protection hidden="1"/>
    </xf>
    <xf numFmtId="0" fontId="4" fillId="0" borderId="83" xfId="0" applyFont="1" applyBorder="1" applyAlignment="1" applyProtection="1">
      <alignment horizontal="left" vertical="center" wrapText="1"/>
      <protection hidden="1"/>
    </xf>
    <xf numFmtId="0" fontId="4" fillId="0" borderId="84" xfId="0" applyFont="1" applyBorder="1" applyAlignment="1" applyProtection="1">
      <alignment horizontal="left" vertical="center" wrapText="1"/>
      <protection hidden="1"/>
    </xf>
    <xf numFmtId="0" fontId="4" fillId="0" borderId="85" xfId="0" applyFont="1" applyBorder="1" applyAlignment="1" applyProtection="1">
      <alignment horizontal="center" vertical="center" wrapText="1"/>
      <protection hidden="1"/>
    </xf>
    <xf numFmtId="0" fontId="11" fillId="0" borderId="86" xfId="0" applyFont="1" applyBorder="1" applyAlignment="1" applyProtection="1">
      <alignment horizontal="center" vertical="center" wrapText="1"/>
      <protection hidden="1"/>
    </xf>
    <xf numFmtId="0" fontId="2" fillId="0" borderId="87" xfId="0" applyFont="1" applyBorder="1" applyAlignment="1" applyProtection="1">
      <alignment horizontal="right"/>
      <protection hidden="1"/>
    </xf>
    <xf numFmtId="0" fontId="0" fillId="0" borderId="87" xfId="0" applyBorder="1" applyProtection="1">
      <protection hidden="1"/>
    </xf>
    <xf numFmtId="0" fontId="0" fillId="0" borderId="1" xfId="0" applyBorder="1" applyProtection="1">
      <protection hidden="1"/>
    </xf>
    <xf numFmtId="0" fontId="2" fillId="0" borderId="1" xfId="0" applyFont="1" applyBorder="1" applyProtection="1">
      <protection hidden="1"/>
    </xf>
    <xf numFmtId="0" fontId="0" fillId="0" borderId="22" xfId="0" applyBorder="1" applyAlignment="1" applyProtection="1">
      <alignment vertical="center" wrapText="1"/>
      <protection hidden="1"/>
    </xf>
    <xf numFmtId="0" fontId="36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8" fillId="9" borderId="23" xfId="0" applyFont="1" applyFill="1" applyBorder="1" applyAlignment="1" applyProtection="1">
      <alignment horizontal="center" vertical="top" wrapText="1"/>
      <protection hidden="1"/>
    </xf>
    <xf numFmtId="0" fontId="0" fillId="9" borderId="0" xfId="0" applyFill="1" applyAlignment="1" applyProtection="1">
      <alignment horizontal="center" vertical="top" wrapText="1"/>
      <protection hidden="1"/>
    </xf>
    <xf numFmtId="0" fontId="5" fillId="9" borderId="0" xfId="0" applyFont="1" applyFill="1" applyAlignment="1" applyProtection="1">
      <alignment horizontal="center" vertical="top" wrapText="1"/>
      <protection hidden="1"/>
    </xf>
    <xf numFmtId="0" fontId="8" fillId="0" borderId="15" xfId="0" applyFont="1" applyBorder="1" applyAlignment="1" applyProtection="1">
      <alignment horizontal="justify" vertical="top" wrapText="1"/>
      <protection hidden="1"/>
    </xf>
    <xf numFmtId="0" fontId="8" fillId="0" borderId="88" xfId="0" applyFont="1" applyBorder="1" applyAlignment="1" applyProtection="1">
      <alignment horizontal="justify" vertical="top" wrapText="1"/>
      <protection hidden="1"/>
    </xf>
    <xf numFmtId="0" fontId="11" fillId="0" borderId="89" xfId="0" applyFont="1" applyBorder="1" applyAlignment="1" applyProtection="1">
      <alignment horizontal="center" vertical="top" wrapText="1"/>
      <protection hidden="1"/>
    </xf>
    <xf numFmtId="1" fontId="11" fillId="0" borderId="89" xfId="0" applyNumberFormat="1" applyFont="1" applyBorder="1" applyAlignment="1" applyProtection="1">
      <alignment horizontal="right" vertical="top" wrapText="1" indent="2"/>
      <protection hidden="1"/>
    </xf>
    <xf numFmtId="12" fontId="11" fillId="0" borderId="74" xfId="0" applyNumberFormat="1" applyFont="1" applyBorder="1" applyAlignment="1" applyProtection="1">
      <alignment horizontal="center" vertical="top" wrapText="1"/>
      <protection hidden="1"/>
    </xf>
    <xf numFmtId="0" fontId="8" fillId="0" borderId="34" xfId="0" applyFont="1" applyBorder="1" applyAlignment="1" applyProtection="1">
      <alignment horizontal="justify" vertical="top" wrapText="1"/>
      <protection hidden="1"/>
    </xf>
    <xf numFmtId="0" fontId="8" fillId="0" borderId="78" xfId="0" applyFont="1" applyBorder="1" applyAlignment="1" applyProtection="1">
      <alignment horizontal="justify" vertical="top" wrapText="1"/>
      <protection hidden="1"/>
    </xf>
    <xf numFmtId="0" fontId="11" fillId="0" borderId="90" xfId="0" applyFont="1" applyBorder="1" applyAlignment="1" applyProtection="1">
      <alignment horizontal="center" vertical="top" wrapText="1"/>
      <protection hidden="1"/>
    </xf>
    <xf numFmtId="165" fontId="11" fillId="0" borderId="90" xfId="0" applyNumberFormat="1" applyFont="1" applyBorder="1" applyAlignment="1" applyProtection="1">
      <alignment horizontal="right" vertical="top" wrapText="1" indent="2"/>
      <protection hidden="1"/>
    </xf>
    <xf numFmtId="12" fontId="11" fillId="0" borderId="79" xfId="0" applyNumberFormat="1" applyFont="1" applyBorder="1" applyAlignment="1" applyProtection="1">
      <alignment horizontal="center" vertical="top" wrapText="1"/>
      <protection hidden="1"/>
    </xf>
    <xf numFmtId="0" fontId="8" fillId="0" borderId="91" xfId="0" applyFont="1" applyBorder="1" applyAlignment="1" applyProtection="1">
      <alignment horizontal="justify" vertical="top" wrapText="1"/>
      <protection hidden="1"/>
    </xf>
    <xf numFmtId="0" fontId="8" fillId="0" borderId="92" xfId="0" applyFont="1" applyBorder="1" applyAlignment="1" applyProtection="1">
      <alignment horizontal="justify" vertical="top" wrapText="1"/>
      <protection hidden="1"/>
    </xf>
    <xf numFmtId="0" fontId="11" fillId="0" borderId="93" xfId="0" applyFont="1" applyBorder="1" applyAlignment="1" applyProtection="1">
      <alignment horizontal="center" vertical="top" wrapText="1"/>
      <protection hidden="1"/>
    </xf>
    <xf numFmtId="165" fontId="11" fillId="0" borderId="93" xfId="0" applyNumberFormat="1" applyFont="1" applyBorder="1" applyAlignment="1" applyProtection="1">
      <alignment horizontal="right" vertical="top" wrapText="1" indent="2"/>
      <protection hidden="1"/>
    </xf>
    <xf numFmtId="12" fontId="11" fillId="0" borderId="94" xfId="0" applyNumberFormat="1" applyFont="1" applyBorder="1" applyAlignment="1" applyProtection="1">
      <alignment horizontal="center" vertical="top" wrapText="1"/>
      <protection hidden="1"/>
    </xf>
    <xf numFmtId="0" fontId="8" fillId="9" borderId="16" xfId="0" applyFont="1" applyFill="1" applyBorder="1" applyAlignment="1" applyProtection="1">
      <alignment horizontal="center" vertical="top" wrapText="1"/>
      <protection hidden="1"/>
    </xf>
    <xf numFmtId="0" fontId="8" fillId="9" borderId="38" xfId="0" applyFont="1" applyFill="1" applyBorder="1" applyAlignment="1" applyProtection="1">
      <alignment horizontal="center" vertical="top" wrapText="1"/>
      <protection hidden="1"/>
    </xf>
    <xf numFmtId="0" fontId="8" fillId="9" borderId="43" xfId="0" applyFont="1" applyFill="1" applyBorder="1" applyAlignment="1" applyProtection="1">
      <alignment horizontal="center" vertical="top" wrapText="1"/>
      <protection hidden="1"/>
    </xf>
    <xf numFmtId="0" fontId="8" fillId="9" borderId="3" xfId="0" applyFont="1" applyFill="1" applyBorder="1" applyAlignment="1" applyProtection="1">
      <alignment horizontal="center" vertical="top" wrapText="1"/>
      <protection hidden="1"/>
    </xf>
    <xf numFmtId="0" fontId="0" fillId="9" borderId="7" xfId="0" applyFill="1" applyBorder="1" applyAlignment="1" applyProtection="1">
      <alignment horizontal="center" vertical="top" wrapText="1"/>
      <protection hidden="1"/>
    </xf>
    <xf numFmtId="0" fontId="11" fillId="0" borderId="95" xfId="0" applyFont="1" applyBorder="1" applyAlignment="1" applyProtection="1">
      <alignment horizontal="right" vertical="top" wrapText="1" indent="4"/>
      <protection hidden="1"/>
    </xf>
    <xf numFmtId="0" fontId="0" fillId="0" borderId="76" xfId="0" applyBorder="1" applyAlignment="1" applyProtection="1">
      <alignment horizontal="right" indent="4"/>
      <protection hidden="1"/>
    </xf>
    <xf numFmtId="0" fontId="8" fillId="0" borderId="13" xfId="0" applyFont="1" applyBorder="1" applyAlignment="1" applyProtection="1">
      <alignment horizontal="justify" vertical="top" wrapText="1"/>
      <protection hidden="1"/>
    </xf>
    <xf numFmtId="0" fontId="8" fillId="0" borderId="96" xfId="0" applyFont="1" applyBorder="1" applyAlignment="1" applyProtection="1">
      <alignment horizontal="justify" vertical="top" wrapText="1"/>
      <protection hidden="1"/>
    </xf>
    <xf numFmtId="0" fontId="11" fillId="0" borderId="90" xfId="0" applyFont="1" applyBorder="1" applyAlignment="1" applyProtection="1">
      <alignment horizontal="right" vertical="top" wrapText="1" indent="4"/>
      <protection hidden="1"/>
    </xf>
    <xf numFmtId="0" fontId="0" fillId="0" borderId="79" xfId="0" applyBorder="1" applyAlignment="1" applyProtection="1">
      <alignment horizontal="right" indent="4"/>
      <protection hidden="1"/>
    </xf>
    <xf numFmtId="0" fontId="8" fillId="0" borderId="97" xfId="0" applyFont="1" applyBorder="1" applyAlignment="1" applyProtection="1">
      <alignment horizontal="justify" vertical="top" wrapText="1"/>
      <protection hidden="1"/>
    </xf>
    <xf numFmtId="0" fontId="8" fillId="0" borderId="98" xfId="0" applyFont="1" applyBorder="1" applyAlignment="1" applyProtection="1">
      <alignment horizontal="justify" vertical="top" wrapText="1"/>
      <protection hidden="1"/>
    </xf>
    <xf numFmtId="0" fontId="11" fillId="0" borderId="99" xfId="0" applyFont="1" applyBorder="1" applyAlignment="1" applyProtection="1">
      <alignment horizontal="right" vertical="top" wrapText="1" indent="4"/>
      <protection hidden="1"/>
    </xf>
    <xf numFmtId="0" fontId="0" fillId="0" borderId="94" xfId="0" applyBorder="1" applyAlignment="1" applyProtection="1">
      <alignment horizontal="right" indent="4"/>
      <protection hidden="1"/>
    </xf>
    <xf numFmtId="0" fontId="8" fillId="0" borderId="100" xfId="0" applyFont="1" applyBorder="1" applyAlignment="1" applyProtection="1">
      <alignment horizontal="justify" vertical="top" wrapText="1"/>
      <protection hidden="1"/>
    </xf>
    <xf numFmtId="0" fontId="8" fillId="0" borderId="101" xfId="0" applyFont="1" applyBorder="1" applyAlignment="1" applyProtection="1">
      <alignment horizontal="justify" vertical="top" wrapText="1"/>
      <protection hidden="1"/>
    </xf>
    <xf numFmtId="0" fontId="11" fillId="0" borderId="102" xfId="0" applyFont="1" applyBorder="1" applyAlignment="1" applyProtection="1">
      <alignment horizontal="right" vertical="top" wrapText="1" indent="4"/>
      <protection hidden="1"/>
    </xf>
    <xf numFmtId="0" fontId="8" fillId="0" borderId="16" xfId="0" applyFont="1" applyBorder="1" applyAlignment="1" applyProtection="1">
      <alignment horizontal="justify" vertical="top" wrapText="1"/>
      <protection hidden="1"/>
    </xf>
    <xf numFmtId="0" fontId="8" fillId="0" borderId="103" xfId="0" applyFont="1" applyBorder="1" applyAlignment="1" applyProtection="1">
      <alignment horizontal="justify" vertical="top" wrapText="1"/>
      <protection hidden="1"/>
    </xf>
    <xf numFmtId="0" fontId="0" fillId="0" borderId="104" xfId="0" applyBorder="1" applyAlignment="1" applyProtection="1">
      <alignment horizontal="right" indent="4"/>
      <protection hidden="1"/>
    </xf>
    <xf numFmtId="0" fontId="8" fillId="0" borderId="103" xfId="0" applyFont="1" applyBorder="1" applyAlignment="1" applyProtection="1">
      <alignment horizontal="center" vertical="top" wrapText="1"/>
      <protection hidden="1"/>
    </xf>
    <xf numFmtId="0" fontId="8" fillId="0" borderId="92" xfId="0" applyFont="1" applyBorder="1" applyAlignment="1" applyProtection="1">
      <alignment horizontal="center" vertical="top" wrapText="1"/>
      <protection hidden="1"/>
    </xf>
    <xf numFmtId="0" fontId="2" fillId="0" borderId="105" xfId="0" applyFont="1" applyBorder="1" applyAlignment="1" applyProtection="1">
      <alignment vertical="top"/>
      <protection hidden="1"/>
    </xf>
    <xf numFmtId="0" fontId="8" fillId="0" borderId="106" xfId="0" applyFont="1" applyBorder="1" applyAlignment="1" applyProtection="1">
      <alignment horizontal="justify" vertical="top" wrapText="1"/>
      <protection hidden="1"/>
    </xf>
    <xf numFmtId="0" fontId="11" fillId="0" borderId="106" xfId="0" applyFont="1" applyBorder="1" applyAlignment="1" applyProtection="1">
      <alignment horizontal="right" vertical="top" wrapText="1" indent="4"/>
      <protection hidden="1"/>
    </xf>
    <xf numFmtId="0" fontId="0" fillId="0" borderId="0" xfId="0" applyAlignment="1" applyProtection="1">
      <alignment horizontal="right" indent="7"/>
      <protection hidden="1"/>
    </xf>
    <xf numFmtId="0" fontId="8" fillId="0" borderId="0" xfId="0" applyFont="1" applyAlignment="1" applyProtection="1">
      <alignment horizontal="justify" vertical="top" wrapText="1"/>
      <protection hidden="1"/>
    </xf>
    <xf numFmtId="0" fontId="11" fillId="0" borderId="0" xfId="0" applyFont="1" applyAlignment="1" applyProtection="1">
      <alignment horizontal="right" vertical="top" wrapText="1" indent="4"/>
      <protection hidden="1"/>
    </xf>
    <xf numFmtId="0" fontId="8" fillId="9" borderId="43" xfId="0" applyFont="1" applyFill="1" applyBorder="1" applyAlignment="1" applyProtection="1">
      <alignment horizontal="center" vertical="center" wrapText="1"/>
      <protection hidden="1"/>
    </xf>
    <xf numFmtId="0" fontId="8" fillId="9" borderId="58" xfId="0" applyFont="1" applyFill="1" applyBorder="1" applyAlignment="1" applyProtection="1">
      <alignment horizontal="center" vertical="center" wrapText="1"/>
      <protection hidden="1"/>
    </xf>
    <xf numFmtId="0" fontId="4" fillId="0" borderId="97" xfId="0" applyFont="1" applyBorder="1" applyAlignment="1" applyProtection="1">
      <alignment horizontal="left" vertical="center" wrapText="1"/>
      <protection hidden="1"/>
    </xf>
    <xf numFmtId="0" fontId="4" fillId="0" borderId="98" xfId="0" applyFont="1" applyBorder="1" applyAlignment="1" applyProtection="1">
      <alignment horizontal="center" vertical="center" wrapText="1"/>
      <protection hidden="1"/>
    </xf>
    <xf numFmtId="0" fontId="5" fillId="0" borderId="107" xfId="0" applyFont="1" applyBorder="1" applyAlignment="1" applyProtection="1">
      <alignment horizontal="right" vertical="center" wrapText="1" indent="3"/>
      <protection hidden="1"/>
    </xf>
    <xf numFmtId="0" fontId="5" fillId="0" borderId="108" xfId="0" applyFont="1" applyBorder="1" applyAlignment="1" applyProtection="1">
      <alignment horizontal="right" vertical="center" wrapText="1" indent="2"/>
      <protection hidden="1"/>
    </xf>
    <xf numFmtId="0" fontId="5" fillId="0" borderId="109" xfId="0" applyFont="1" applyBorder="1" applyAlignment="1" applyProtection="1">
      <alignment horizontal="center" vertical="top" wrapText="1"/>
      <protection hidden="1"/>
    </xf>
    <xf numFmtId="0" fontId="4" fillId="0" borderId="110" xfId="0" applyFont="1" applyBorder="1" applyAlignment="1" applyProtection="1">
      <alignment horizontal="left" vertical="center" wrapText="1"/>
      <protection hidden="1"/>
    </xf>
    <xf numFmtId="0" fontId="4" fillId="0" borderId="111" xfId="0" applyFont="1" applyBorder="1" applyAlignment="1" applyProtection="1">
      <alignment horizontal="center" vertical="center" wrapText="1"/>
      <protection hidden="1"/>
    </xf>
    <xf numFmtId="0" fontId="5" fillId="0" borderId="112" xfId="0" applyFont="1" applyBorder="1" applyAlignment="1" applyProtection="1">
      <alignment horizontal="right" vertical="center" wrapText="1" indent="3"/>
      <protection hidden="1"/>
    </xf>
    <xf numFmtId="0" fontId="5" fillId="0" borderId="102" xfId="0" applyFont="1" applyBorder="1" applyAlignment="1" applyProtection="1">
      <alignment horizontal="right" vertical="center" wrapText="1" indent="2"/>
      <protection hidden="1"/>
    </xf>
    <xf numFmtId="0" fontId="5" fillId="0" borderId="113" xfId="0" applyFont="1" applyBorder="1" applyAlignment="1" applyProtection="1">
      <alignment horizontal="center" vertical="center" wrapText="1"/>
      <protection hidden="1"/>
    </xf>
    <xf numFmtId="0" fontId="4" fillId="0" borderId="82" xfId="0" applyFont="1" applyBorder="1" applyAlignment="1" applyProtection="1">
      <alignment horizontal="center" vertical="center" wrapText="1"/>
      <protection hidden="1"/>
    </xf>
    <xf numFmtId="0" fontId="5" fillId="0" borderId="79" xfId="0" applyFont="1" applyBorder="1" applyAlignment="1" applyProtection="1">
      <alignment horizontal="right" vertical="center" wrapText="1" indent="3"/>
      <protection hidden="1"/>
    </xf>
    <xf numFmtId="0" fontId="5" fillId="0" borderId="90" xfId="0" applyFont="1" applyBorder="1" applyAlignment="1" applyProtection="1">
      <alignment horizontal="right" vertical="center" wrapText="1" indent="2"/>
      <protection hidden="1"/>
    </xf>
    <xf numFmtId="0" fontId="5" fillId="0" borderId="114" xfId="0" applyFont="1" applyBorder="1" applyAlignment="1" applyProtection="1">
      <alignment horizontal="justify" vertical="top" wrapText="1"/>
      <protection hidden="1"/>
    </xf>
    <xf numFmtId="0" fontId="0" fillId="0" borderId="114" xfId="0" applyBorder="1" applyAlignment="1" applyProtection="1">
      <alignment horizontal="justify" vertical="top" wrapText="1"/>
      <protection hidden="1"/>
    </xf>
    <xf numFmtId="0" fontId="4" fillId="0" borderId="115" xfId="0" applyFont="1" applyBorder="1" applyAlignment="1" applyProtection="1">
      <alignment horizontal="center" vertical="center" wrapText="1"/>
      <protection hidden="1"/>
    </xf>
    <xf numFmtId="0" fontId="4" fillId="0" borderId="92" xfId="0" applyFont="1" applyBorder="1" applyAlignment="1" applyProtection="1">
      <alignment horizontal="center" vertical="center" wrapText="1"/>
      <protection hidden="1"/>
    </xf>
    <xf numFmtId="0" fontId="5" fillId="0" borderId="94" xfId="0" applyFont="1" applyBorder="1" applyAlignment="1" applyProtection="1">
      <alignment horizontal="right" vertical="center" wrapText="1" indent="3"/>
      <protection hidden="1"/>
    </xf>
    <xf numFmtId="0" fontId="5" fillId="0" borderId="99" xfId="0" applyFont="1" applyBorder="1" applyAlignment="1" applyProtection="1">
      <alignment horizontal="right" vertical="center" wrapText="1" indent="2"/>
      <protection hidden="1"/>
    </xf>
    <xf numFmtId="0" fontId="5" fillId="0" borderId="116" xfId="0" applyFont="1" applyBorder="1" applyAlignment="1" applyProtection="1">
      <alignment horizontal="justify" vertical="top" wrapText="1"/>
      <protection hidden="1"/>
    </xf>
    <xf numFmtId="0" fontId="4" fillId="0" borderId="105" xfId="0" applyFont="1" applyBorder="1" applyAlignment="1" applyProtection="1">
      <alignment horizontal="left" vertical="center" wrapText="1"/>
      <protection hidden="1"/>
    </xf>
    <xf numFmtId="0" fontId="4" fillId="0" borderId="117" xfId="0" applyFont="1" applyBorder="1" applyAlignment="1" applyProtection="1">
      <alignment horizontal="center" vertical="center" wrapText="1"/>
      <protection hidden="1"/>
    </xf>
    <xf numFmtId="0" fontId="5" fillId="0" borderId="118" xfId="0" applyFont="1" applyBorder="1" applyAlignment="1" applyProtection="1">
      <alignment horizontal="left" vertical="top" wrapText="1"/>
      <protection hidden="1"/>
    </xf>
    <xf numFmtId="0" fontId="5" fillId="0" borderId="119" xfId="0" applyFont="1" applyBorder="1" applyAlignment="1" applyProtection="1">
      <alignment horizontal="right" vertical="center" wrapText="1" indent="2"/>
      <protection hidden="1"/>
    </xf>
    <xf numFmtId="0" fontId="5" fillId="0" borderId="120" xfId="0" applyFont="1" applyBorder="1" applyAlignment="1" applyProtection="1">
      <alignment horizontal="center" vertical="center" wrapText="1"/>
      <protection hidden="1"/>
    </xf>
    <xf numFmtId="0" fontId="2" fillId="0" borderId="91" xfId="0" applyFont="1" applyBorder="1" applyAlignment="1" applyProtection="1">
      <alignment vertical="top"/>
      <protection hidden="1"/>
    </xf>
    <xf numFmtId="0" fontId="49" fillId="0" borderId="0" xfId="0" applyFont="1" applyProtection="1">
      <protection hidden="1"/>
    </xf>
    <xf numFmtId="2" fontId="36" fillId="0" borderId="0" xfId="0" applyNumberFormat="1" applyFont="1" applyProtection="1">
      <protection hidden="1"/>
    </xf>
    <xf numFmtId="165" fontId="36" fillId="0" borderId="0" xfId="0" applyNumberFormat="1" applyFont="1" applyProtection="1">
      <protection hidden="1"/>
    </xf>
    <xf numFmtId="1" fontId="5" fillId="6" borderId="13" xfId="0" applyNumberFormat="1" applyFont="1" applyFill="1" applyBorder="1" applyAlignment="1" applyProtection="1">
      <alignment horizontal="right" vertical="center"/>
      <protection hidden="1"/>
    </xf>
    <xf numFmtId="165" fontId="5" fillId="6" borderId="31" xfId="0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Protection="1">
      <protection hidden="1"/>
    </xf>
    <xf numFmtId="0" fontId="9" fillId="0" borderId="22" xfId="0" applyFont="1" applyBorder="1" applyAlignment="1" applyProtection="1">
      <alignment horizontal="right" vertical="center"/>
      <protection hidden="1"/>
    </xf>
    <xf numFmtId="0" fontId="20" fillId="12" borderId="118" xfId="0" applyFont="1" applyFill="1" applyBorder="1" applyAlignment="1" applyProtection="1">
      <alignment horizontal="right"/>
      <protection hidden="1"/>
    </xf>
    <xf numFmtId="0" fontId="18" fillId="12" borderId="106" xfId="0" applyFont="1" applyFill="1" applyBorder="1" applyProtection="1">
      <protection hidden="1"/>
    </xf>
    <xf numFmtId="0" fontId="13" fillId="12" borderId="106" xfId="0" applyFont="1" applyFill="1" applyBorder="1" applyProtection="1">
      <protection hidden="1"/>
    </xf>
    <xf numFmtId="0" fontId="19" fillId="12" borderId="106" xfId="0" applyFont="1" applyFill="1" applyBorder="1" applyProtection="1">
      <protection hidden="1"/>
    </xf>
    <xf numFmtId="0" fontId="20" fillId="12" borderId="31" xfId="0" applyFont="1" applyFill="1" applyBorder="1" applyAlignment="1" applyProtection="1">
      <alignment horizontal="right" vertical="center" wrapText="1"/>
      <protection hidden="1"/>
    </xf>
    <xf numFmtId="0" fontId="20" fillId="20" borderId="28" xfId="0" applyFont="1" applyFill="1" applyBorder="1" applyAlignment="1" applyProtection="1">
      <alignment horizontal="right" vertical="center" wrapText="1"/>
      <protection hidden="1"/>
    </xf>
    <xf numFmtId="0" fontId="2" fillId="9" borderId="31" xfId="0" applyFont="1" applyFill="1" applyBorder="1" applyAlignment="1" applyProtection="1">
      <alignment horizontal="center"/>
      <protection hidden="1"/>
    </xf>
    <xf numFmtId="0" fontId="2" fillId="9" borderId="13" xfId="0" applyFont="1" applyFill="1" applyBorder="1" applyAlignment="1" applyProtection="1">
      <alignment horizontal="center" vertical="center"/>
      <protection hidden="1"/>
    </xf>
    <xf numFmtId="0" fontId="5" fillId="9" borderId="28" xfId="0" applyFont="1" applyFill="1" applyBorder="1" applyAlignment="1" applyProtection="1">
      <alignment horizontal="left"/>
      <protection hidden="1"/>
    </xf>
    <xf numFmtId="0" fontId="2" fillId="9" borderId="22" xfId="0" applyFont="1" applyFill="1" applyBorder="1" applyAlignment="1" applyProtection="1">
      <alignment horizontal="center"/>
      <protection hidden="1"/>
    </xf>
    <xf numFmtId="2" fontId="2" fillId="9" borderId="14" xfId="0" applyNumberFormat="1" applyFont="1" applyFill="1" applyBorder="1" applyAlignment="1">
      <alignment horizontal="right"/>
    </xf>
    <xf numFmtId="12" fontId="2" fillId="9" borderId="13" xfId="0" applyNumberFormat="1" applyFont="1" applyFill="1" applyBorder="1" applyAlignment="1">
      <alignment horizontal="right"/>
    </xf>
    <xf numFmtId="12" fontId="2" fillId="9" borderId="22" xfId="0" applyNumberFormat="1" applyFont="1" applyFill="1" applyBorder="1" applyAlignment="1">
      <alignment horizontal="right"/>
    </xf>
    <xf numFmtId="12" fontId="2" fillId="18" borderId="22" xfId="0" applyNumberFormat="1" applyFont="1" applyFill="1" applyBorder="1" applyAlignment="1">
      <alignment horizontal="right"/>
    </xf>
    <xf numFmtId="0" fontId="3" fillId="9" borderId="0" xfId="0" applyFont="1" applyFill="1" applyAlignment="1" applyProtection="1">
      <alignment horizontal="center" vertical="center"/>
      <protection hidden="1"/>
    </xf>
    <xf numFmtId="1" fontId="3" fillId="9" borderId="31" xfId="0" applyNumberFormat="1" applyFont="1" applyFill="1" applyBorder="1" applyAlignment="1" applyProtection="1">
      <alignment horizontal="right" vertical="center"/>
      <protection hidden="1"/>
    </xf>
    <xf numFmtId="0" fontId="9" fillId="9" borderId="121" xfId="0" applyFont="1" applyFill="1" applyBorder="1" applyAlignment="1" applyProtection="1">
      <alignment horizontal="center" vertical="center"/>
      <protection hidden="1"/>
    </xf>
    <xf numFmtId="164" fontId="0" fillId="0" borderId="23" xfId="0" applyNumberFormat="1" applyBorder="1" applyProtection="1">
      <protection hidden="1"/>
    </xf>
    <xf numFmtId="1" fontId="0" fillId="0" borderId="23" xfId="0" applyNumberFormat="1" applyBorder="1" applyProtection="1">
      <protection hidden="1"/>
    </xf>
    <xf numFmtId="0" fontId="0" fillId="0" borderId="16" xfId="0" applyBorder="1" applyProtection="1">
      <protection hidden="1"/>
    </xf>
    <xf numFmtId="2" fontId="0" fillId="0" borderId="0" xfId="0" applyNumberFormat="1" applyAlignment="1" applyProtection="1">
      <alignment vertical="center"/>
      <protection hidden="1"/>
    </xf>
    <xf numFmtId="165" fontId="2" fillId="21" borderId="13" xfId="0" applyNumberFormat="1" applyFont="1" applyFill="1" applyBorder="1" applyAlignment="1" applyProtection="1">
      <alignment horizontal="center"/>
      <protection hidden="1"/>
    </xf>
    <xf numFmtId="165" fontId="2" fillId="22" borderId="13" xfId="0" applyNumberFormat="1" applyFont="1" applyFill="1" applyBorder="1" applyAlignment="1" applyProtection="1">
      <alignment horizontal="center"/>
      <protection hidden="1"/>
    </xf>
    <xf numFmtId="0" fontId="6" fillId="2" borderId="28" xfId="0" applyFont="1" applyFill="1" applyBorder="1" applyProtection="1">
      <protection hidden="1"/>
    </xf>
    <xf numFmtId="0" fontId="5" fillId="2" borderId="31" xfId="0" applyFont="1" applyFill="1" applyBorder="1" applyAlignment="1" applyProtection="1">
      <alignment vertical="center"/>
      <protection hidden="1"/>
    </xf>
    <xf numFmtId="12" fontId="2" fillId="2" borderId="22" xfId="0" applyNumberFormat="1" applyFont="1" applyFill="1" applyBorder="1" applyAlignment="1">
      <alignment horizontal="right"/>
    </xf>
    <xf numFmtId="0" fontId="0" fillId="18" borderId="13" xfId="0" applyFill="1" applyBorder="1" applyProtection="1">
      <protection hidden="1"/>
    </xf>
    <xf numFmtId="0" fontId="5" fillId="0" borderId="29" xfId="0" applyFont="1" applyBorder="1" applyAlignment="1" applyProtection="1">
      <alignment horizontal="left" vertical="center"/>
      <protection hidden="1"/>
    </xf>
    <xf numFmtId="1" fontId="13" fillId="5" borderId="13" xfId="0" applyNumberFormat="1" applyFont="1" applyFill="1" applyBorder="1" applyAlignment="1" applyProtection="1">
      <alignment horizontal="center" vertical="center" wrapText="1"/>
      <protection hidden="1"/>
    </xf>
    <xf numFmtId="165" fontId="5" fillId="0" borderId="0" xfId="0" applyNumberFormat="1" applyFont="1" applyProtection="1">
      <protection hidden="1"/>
    </xf>
    <xf numFmtId="12" fontId="5" fillId="0" borderId="87" xfId="0" applyNumberFormat="1" applyFont="1" applyBorder="1" applyAlignment="1" applyProtection="1">
      <alignment horizontal="right"/>
      <protection hidden="1"/>
    </xf>
    <xf numFmtId="0" fontId="5" fillId="0" borderId="87" xfId="0" applyFont="1" applyBorder="1" applyAlignment="1" applyProtection="1">
      <alignment horizontal="center"/>
      <protection hidden="1"/>
    </xf>
    <xf numFmtId="0" fontId="5" fillId="9" borderId="122" xfId="0" applyFont="1" applyFill="1" applyBorder="1" applyAlignment="1" applyProtection="1">
      <alignment horizontal="center"/>
      <protection hidden="1"/>
    </xf>
    <xf numFmtId="0" fontId="2" fillId="0" borderId="87" xfId="0" applyFont="1" applyBorder="1" applyAlignment="1" applyProtection="1">
      <alignment horizontal="center"/>
      <protection hidden="1"/>
    </xf>
    <xf numFmtId="165" fontId="5" fillId="0" borderId="87" xfId="0" applyNumberFormat="1" applyFont="1" applyBorder="1" applyAlignment="1" applyProtection="1">
      <alignment horizontal="center"/>
      <protection hidden="1"/>
    </xf>
    <xf numFmtId="0" fontId="9" fillId="9" borderId="14" xfId="0" applyFont="1" applyFill="1" applyBorder="1" applyAlignment="1" applyProtection="1">
      <alignment horizontal="center" vertical="center"/>
      <protection hidden="1"/>
    </xf>
    <xf numFmtId="0" fontId="5" fillId="9" borderId="0" xfId="0" applyFont="1" applyFill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top" wrapText="1"/>
      <protection hidden="1"/>
    </xf>
    <xf numFmtId="0" fontId="2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center" vertical="top" wrapText="1"/>
      <protection hidden="1"/>
    </xf>
    <xf numFmtId="0" fontId="4" fillId="0" borderId="0" xfId="0" applyFont="1" applyAlignment="1" applyProtection="1">
      <alignment horizontal="left" vertical="center" wrapText="1"/>
      <protection hidden="1"/>
    </xf>
    <xf numFmtId="1" fontId="5" fillId="0" borderId="0" xfId="0" applyNumberFormat="1" applyFont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165" fontId="11" fillId="0" borderId="0" xfId="0" applyNumberFormat="1" applyFont="1" applyAlignment="1" applyProtection="1">
      <alignment horizontal="center" vertical="center" wrapText="1"/>
      <protection hidden="1"/>
    </xf>
    <xf numFmtId="1" fontId="11" fillId="0" borderId="0" xfId="0" applyNumberFormat="1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justify"/>
      <protection hidden="1"/>
    </xf>
    <xf numFmtId="2" fontId="5" fillId="6" borderId="13" xfId="0" applyNumberFormat="1" applyFont="1" applyFill="1" applyBorder="1" applyAlignment="1" applyProtection="1">
      <alignment horizontal="right" vertical="center"/>
      <protection hidden="1"/>
    </xf>
    <xf numFmtId="0" fontId="45" fillId="2" borderId="13" xfId="0" applyFont="1" applyFill="1" applyBorder="1" applyAlignment="1" applyProtection="1">
      <alignment horizontal="center" vertical="center"/>
      <protection locked="0" hidden="1"/>
    </xf>
    <xf numFmtId="0" fontId="5" fillId="0" borderId="0" xfId="0" applyFont="1" applyAlignment="1" applyProtection="1">
      <alignment horizontal="right"/>
      <protection hidden="1"/>
    </xf>
    <xf numFmtId="0" fontId="3" fillId="9" borderId="40" xfId="0" applyFont="1" applyFill="1" applyBorder="1" applyAlignment="1" applyProtection="1">
      <alignment vertical="center"/>
      <protection hidden="1"/>
    </xf>
    <xf numFmtId="165" fontId="3" fillId="9" borderId="40" xfId="0" applyNumberFormat="1" applyFont="1" applyFill="1" applyBorder="1" applyAlignment="1" applyProtection="1">
      <alignment vertical="center"/>
      <protection hidden="1"/>
    </xf>
    <xf numFmtId="165" fontId="3" fillId="9" borderId="51" xfId="0" applyNumberFormat="1" applyFont="1" applyFill="1" applyBorder="1" applyAlignment="1" applyProtection="1">
      <alignment vertical="center"/>
      <protection hidden="1"/>
    </xf>
    <xf numFmtId="0" fontId="5" fillId="0" borderId="123" xfId="0" applyFont="1" applyBorder="1" applyAlignment="1" applyProtection="1">
      <alignment horizontal="left" vertical="center"/>
      <protection hidden="1"/>
    </xf>
    <xf numFmtId="0" fontId="5" fillId="9" borderId="124" xfId="0" applyFont="1" applyFill="1" applyBorder="1" applyAlignment="1" applyProtection="1">
      <alignment horizontal="center" vertical="center"/>
      <protection hidden="1"/>
    </xf>
    <xf numFmtId="0" fontId="5" fillId="9" borderId="41" xfId="0" applyFont="1" applyFill="1" applyBorder="1" applyAlignment="1" applyProtection="1">
      <alignment horizontal="center" vertical="center"/>
      <protection hidden="1"/>
    </xf>
    <xf numFmtId="0" fontId="5" fillId="9" borderId="35" xfId="0" applyFont="1" applyFill="1" applyBorder="1" applyAlignment="1" applyProtection="1">
      <alignment horizontal="center" vertical="center"/>
      <protection hidden="1"/>
    </xf>
    <xf numFmtId="0" fontId="5" fillId="9" borderId="126" xfId="0" applyFont="1" applyFill="1" applyBorder="1" applyAlignment="1" applyProtection="1">
      <alignment horizontal="center" vertical="center"/>
      <protection hidden="1"/>
    </xf>
    <xf numFmtId="0" fontId="5" fillId="9" borderId="127" xfId="0" applyFont="1" applyFill="1" applyBorder="1" applyAlignment="1" applyProtection="1">
      <alignment horizontal="center" vertical="center"/>
      <protection hidden="1"/>
    </xf>
    <xf numFmtId="2" fontId="9" fillId="9" borderId="125" xfId="0" applyNumberFormat="1" applyFont="1" applyFill="1" applyBorder="1" applyAlignment="1" applyProtection="1">
      <alignment horizontal="center" vertical="center" wrapText="1"/>
      <protection hidden="1"/>
    </xf>
    <xf numFmtId="0" fontId="5" fillId="9" borderId="42" xfId="0" applyFont="1" applyFill="1" applyBorder="1" applyAlignment="1" applyProtection="1">
      <alignment horizontal="center" vertical="center" wrapText="1"/>
      <protection hidden="1"/>
    </xf>
    <xf numFmtId="0" fontId="5" fillId="9" borderId="48" xfId="0" applyFont="1" applyFill="1" applyBorder="1" applyAlignment="1" applyProtection="1">
      <alignment horizontal="center" vertical="center" wrapText="1"/>
      <protection hidden="1"/>
    </xf>
    <xf numFmtId="0" fontId="5" fillId="9" borderId="124" xfId="0" applyFont="1" applyFill="1" applyBorder="1" applyAlignment="1" applyProtection="1">
      <alignment horizontal="center" vertical="center" wrapText="1"/>
      <protection hidden="1"/>
    </xf>
    <xf numFmtId="0" fontId="5" fillId="9" borderId="39" xfId="0" applyFont="1" applyFill="1" applyBorder="1" applyAlignment="1" applyProtection="1">
      <alignment horizontal="center" vertical="center"/>
      <protection hidden="1"/>
    </xf>
    <xf numFmtId="0" fontId="9" fillId="9" borderId="40" xfId="0" applyFont="1" applyFill="1" applyBorder="1" applyAlignment="1" applyProtection="1">
      <alignment horizontal="center" vertical="center"/>
      <protection hidden="1"/>
    </xf>
    <xf numFmtId="0" fontId="9" fillId="9" borderId="11" xfId="0" applyFont="1" applyFill="1" applyBorder="1" applyAlignment="1" applyProtection="1">
      <alignment horizontal="center" vertical="center"/>
      <protection hidden="1"/>
    </xf>
    <xf numFmtId="0" fontId="9" fillId="9" borderId="8" xfId="0" applyFont="1" applyFill="1" applyBorder="1" applyAlignment="1" applyProtection="1">
      <alignment horizontal="center" vertical="center"/>
      <protection hidden="1"/>
    </xf>
    <xf numFmtId="0" fontId="9" fillId="9" borderId="5" xfId="0" applyFont="1" applyFill="1" applyBorder="1" applyAlignment="1" applyProtection="1">
      <alignment horizontal="center" vertical="center"/>
      <protection hidden="1"/>
    </xf>
    <xf numFmtId="0" fontId="9" fillId="9" borderId="121" xfId="0" applyFont="1" applyFill="1" applyBorder="1" applyAlignment="1" applyProtection="1">
      <alignment horizontal="center" vertical="top"/>
      <protection hidden="1"/>
    </xf>
    <xf numFmtId="0" fontId="5" fillId="9" borderId="7" xfId="0" applyFont="1" applyFill="1" applyBorder="1" applyAlignment="1" applyProtection="1">
      <alignment horizontal="center" vertical="center"/>
      <protection hidden="1"/>
    </xf>
    <xf numFmtId="0" fontId="5" fillId="9" borderId="14" xfId="0" applyFont="1" applyFill="1" applyBorder="1" applyAlignment="1" applyProtection="1">
      <alignment horizontal="center" vertical="center"/>
      <protection hidden="1"/>
    </xf>
    <xf numFmtId="0" fontId="5" fillId="9" borderId="18" xfId="0" applyFont="1" applyFill="1" applyBorder="1" applyAlignment="1" applyProtection="1">
      <alignment horizontal="center" vertical="center"/>
      <protection hidden="1"/>
    </xf>
    <xf numFmtId="165" fontId="62" fillId="9" borderId="11" xfId="0" applyNumberFormat="1" applyFont="1" applyFill="1" applyBorder="1" applyAlignment="1" applyProtection="1">
      <alignment horizontal="center" vertical="center"/>
      <protection hidden="1"/>
    </xf>
    <xf numFmtId="0" fontId="9" fillId="9" borderId="7" xfId="0" applyFont="1" applyFill="1" applyBorder="1" applyAlignment="1" applyProtection="1">
      <alignment horizontal="center" vertical="center"/>
      <protection hidden="1"/>
    </xf>
    <xf numFmtId="0" fontId="9" fillId="9" borderId="41" xfId="0" applyFont="1" applyFill="1" applyBorder="1" applyAlignment="1" applyProtection="1">
      <alignment horizontal="center" vertical="center"/>
      <protection hidden="1"/>
    </xf>
    <xf numFmtId="0" fontId="5" fillId="9" borderId="8" xfId="0" applyFont="1" applyFill="1" applyBorder="1" applyAlignment="1" applyProtection="1">
      <alignment horizontal="center" vertical="center"/>
      <protection hidden="1"/>
    </xf>
    <xf numFmtId="0" fontId="5" fillId="9" borderId="128" xfId="0" applyFont="1" applyFill="1" applyBorder="1" applyAlignment="1" applyProtection="1">
      <alignment horizontal="center" vertical="center"/>
      <protection hidden="1"/>
    </xf>
    <xf numFmtId="0" fontId="5" fillId="9" borderId="11" xfId="0" applyFont="1" applyFill="1" applyBorder="1" applyAlignment="1" applyProtection="1">
      <alignment horizontal="right" vertical="center"/>
      <protection hidden="1"/>
    </xf>
    <xf numFmtId="2" fontId="2" fillId="6" borderId="31" xfId="0" applyNumberFormat="1" applyFont="1" applyFill="1" applyBorder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center"/>
      <protection hidden="1"/>
    </xf>
    <xf numFmtId="2" fontId="64" fillId="0" borderId="3" xfId="0" applyNumberFormat="1" applyFont="1" applyBorder="1" applyAlignment="1" applyProtection="1">
      <alignment horizontal="center" vertical="center"/>
      <protection hidden="1"/>
    </xf>
    <xf numFmtId="0" fontId="9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7" fillId="0" borderId="0" xfId="1" applyFont="1" applyAlignment="1">
      <alignment horizontal="right" vertical="top"/>
    </xf>
    <xf numFmtId="0" fontId="7" fillId="0" borderId="0" xfId="1" applyFont="1" applyAlignment="1">
      <alignment vertical="top"/>
    </xf>
    <xf numFmtId="0" fontId="66" fillId="0" borderId="0" xfId="1" applyFont="1" applyAlignment="1">
      <alignment vertical="top"/>
    </xf>
    <xf numFmtId="0" fontId="8" fillId="0" borderId="0" xfId="1" applyFont="1" applyAlignment="1">
      <alignment vertical="top"/>
    </xf>
    <xf numFmtId="0" fontId="67" fillId="0" borderId="0" xfId="1" applyFont="1" applyAlignment="1">
      <alignment vertical="top"/>
    </xf>
    <xf numFmtId="0" fontId="68" fillId="0" borderId="0" xfId="1" applyFont="1" applyAlignment="1">
      <alignment vertical="top"/>
    </xf>
    <xf numFmtId="0" fontId="69" fillId="0" borderId="129" xfId="1" applyFont="1" applyBorder="1" applyAlignment="1" applyProtection="1">
      <alignment horizontal="left" vertical="center"/>
      <protection hidden="1"/>
    </xf>
    <xf numFmtId="0" fontId="19" fillId="5" borderId="0" xfId="1" applyFont="1" applyFill="1" applyAlignment="1">
      <alignment vertical="top"/>
    </xf>
    <xf numFmtId="0" fontId="2" fillId="0" borderId="0" xfId="1" applyFont="1"/>
    <xf numFmtId="0" fontId="5" fillId="0" borderId="0" xfId="1"/>
    <xf numFmtId="0" fontId="71" fillId="5" borderId="0" xfId="1" applyFont="1" applyFill="1" applyAlignment="1">
      <alignment horizontal="center" vertical="center"/>
    </xf>
    <xf numFmtId="0" fontId="19" fillId="5" borderId="0" xfId="1" applyFont="1" applyFill="1" applyAlignment="1">
      <alignment horizontal="center" vertical="top"/>
    </xf>
    <xf numFmtId="0" fontId="9" fillId="0" borderId="15" xfId="1" applyFont="1" applyBorder="1" applyAlignment="1">
      <alignment vertical="top"/>
    </xf>
    <xf numFmtId="0" fontId="9" fillId="0" borderId="23" xfId="1" applyFont="1" applyBorder="1" applyAlignment="1">
      <alignment horizontal="justify" vertical="center"/>
    </xf>
    <xf numFmtId="0" fontId="14" fillId="5" borderId="14" xfId="1" applyFont="1" applyFill="1" applyBorder="1" applyAlignment="1">
      <alignment horizontal="center" vertical="top"/>
    </xf>
    <xf numFmtId="0" fontId="9" fillId="0" borderId="28" xfId="1" applyFont="1" applyBorder="1" applyAlignment="1">
      <alignment vertical="top"/>
    </xf>
    <xf numFmtId="0" fontId="7" fillId="0" borderId="28" xfId="1" applyFont="1" applyBorder="1" applyAlignment="1">
      <alignment vertical="top"/>
    </xf>
    <xf numFmtId="0" fontId="9" fillId="0" borderId="22" xfId="1" applyFont="1" applyBorder="1" applyAlignment="1">
      <alignment vertical="top"/>
    </xf>
    <xf numFmtId="0" fontId="9" fillId="9" borderId="15" xfId="1" applyFont="1" applyFill="1" applyBorder="1" applyAlignment="1" applyProtection="1">
      <alignment vertical="center"/>
      <protection hidden="1"/>
    </xf>
    <xf numFmtId="0" fontId="9" fillId="9" borderId="23" xfId="1" applyFont="1" applyFill="1" applyBorder="1" applyAlignment="1" applyProtection="1">
      <alignment vertical="center"/>
      <protection hidden="1"/>
    </xf>
    <xf numFmtId="0" fontId="9" fillId="0" borderId="22" xfId="1" applyFont="1" applyBorder="1" applyAlignment="1">
      <alignment vertical="center"/>
    </xf>
    <xf numFmtId="0" fontId="9" fillId="0" borderId="0" xfId="1" applyFont="1" applyAlignment="1">
      <alignment vertical="center"/>
    </xf>
    <xf numFmtId="0" fontId="9" fillId="9" borderId="0" xfId="1" applyFont="1" applyFill="1" applyAlignment="1" applyProtection="1">
      <alignment vertical="center"/>
      <protection hidden="1"/>
    </xf>
    <xf numFmtId="1" fontId="5" fillId="9" borderId="16" xfId="1" applyNumberFormat="1" applyFill="1" applyBorder="1" applyAlignment="1" applyProtection="1">
      <alignment vertical="center"/>
      <protection hidden="1"/>
    </xf>
    <xf numFmtId="1" fontId="9" fillId="9" borderId="0" xfId="1" quotePrefix="1" applyNumberFormat="1" applyFont="1" applyFill="1" applyAlignment="1" applyProtection="1">
      <alignment vertical="center"/>
      <protection hidden="1"/>
    </xf>
    <xf numFmtId="0" fontId="5" fillId="9" borderId="126" xfId="1" applyFill="1" applyBorder="1" applyAlignment="1" applyProtection="1">
      <alignment horizontal="center"/>
      <protection hidden="1"/>
    </xf>
    <xf numFmtId="0" fontId="9" fillId="9" borderId="125" xfId="1" applyFont="1" applyFill="1" applyBorder="1" applyAlignment="1" applyProtection="1">
      <alignment vertical="top"/>
      <protection hidden="1"/>
    </xf>
    <xf numFmtId="0" fontId="9" fillId="9" borderId="23" xfId="1" applyFont="1" applyFill="1" applyBorder="1" applyAlignment="1" applyProtection="1">
      <alignment vertical="top"/>
      <protection hidden="1"/>
    </xf>
    <xf numFmtId="0" fontId="9" fillId="9" borderId="130" xfId="1" applyFont="1" applyFill="1" applyBorder="1" applyAlignment="1" applyProtection="1">
      <alignment vertical="top"/>
      <protection hidden="1"/>
    </xf>
    <xf numFmtId="0" fontId="5" fillId="9" borderId="48" xfId="1" applyFill="1" applyBorder="1" applyAlignment="1" applyProtection="1">
      <alignment horizontal="center" vertical="center" wrapText="1"/>
      <protection hidden="1"/>
    </xf>
    <xf numFmtId="0" fontId="9" fillId="9" borderId="131" xfId="1" applyFont="1" applyFill="1" applyBorder="1" applyAlignment="1" applyProtection="1">
      <alignment vertical="top"/>
      <protection hidden="1"/>
    </xf>
    <xf numFmtId="0" fontId="9" fillId="9" borderId="125" xfId="1" applyFont="1" applyFill="1" applyBorder="1" applyAlignment="1" applyProtection="1">
      <alignment vertical="center"/>
      <protection hidden="1"/>
    </xf>
    <xf numFmtId="0" fontId="74" fillId="0" borderId="0" xfId="1" applyFont="1" applyAlignment="1">
      <alignment vertical="top"/>
    </xf>
    <xf numFmtId="0" fontId="5" fillId="9" borderId="132" xfId="1" applyFill="1" applyBorder="1" applyAlignment="1" applyProtection="1">
      <alignment horizontal="center" vertical="center" wrapText="1"/>
      <protection hidden="1"/>
    </xf>
    <xf numFmtId="0" fontId="9" fillId="9" borderId="42" xfId="1" applyFont="1" applyFill="1" applyBorder="1" applyAlignment="1" applyProtection="1">
      <alignment horizontal="center" vertical="center"/>
      <protection hidden="1"/>
    </xf>
    <xf numFmtId="0" fontId="9" fillId="9" borderId="132" xfId="1" applyFont="1" applyFill="1" applyBorder="1" applyAlignment="1" applyProtection="1">
      <alignment vertical="center"/>
      <protection hidden="1"/>
    </xf>
    <xf numFmtId="0" fontId="9" fillId="9" borderId="44" xfId="1" applyFont="1" applyFill="1" applyBorder="1" applyAlignment="1" applyProtection="1">
      <alignment vertical="top"/>
      <protection hidden="1"/>
    </xf>
    <xf numFmtId="0" fontId="5" fillId="9" borderId="121" xfId="1" applyFill="1" applyBorder="1" applyAlignment="1" applyProtection="1">
      <alignment horizontal="center" vertical="center"/>
      <protection hidden="1"/>
    </xf>
    <xf numFmtId="0" fontId="9" fillId="9" borderId="133" xfId="1" applyFont="1" applyFill="1" applyBorder="1" applyAlignment="1" applyProtection="1">
      <alignment vertical="top"/>
      <protection hidden="1"/>
    </xf>
    <xf numFmtId="0" fontId="9" fillId="9" borderId="16" xfId="1" applyFont="1" applyFill="1" applyBorder="1" applyAlignment="1" applyProtection="1">
      <alignment vertical="center"/>
      <protection hidden="1"/>
    </xf>
    <xf numFmtId="0" fontId="9" fillId="9" borderId="0" xfId="1" applyFont="1" applyFill="1" applyAlignment="1" applyProtection="1">
      <alignment vertical="top"/>
      <protection hidden="1"/>
    </xf>
    <xf numFmtId="0" fontId="9" fillId="0" borderId="31" xfId="1" applyFont="1" applyBorder="1" applyAlignment="1">
      <alignment vertical="top"/>
    </xf>
    <xf numFmtId="0" fontId="76" fillId="0" borderId="0" xfId="1" applyFont="1" applyAlignment="1">
      <alignment horizontal="center" vertical="top"/>
    </xf>
    <xf numFmtId="0" fontId="9" fillId="0" borderId="28" xfId="1" applyFont="1" applyBorder="1" applyAlignment="1">
      <alignment horizontal="left" vertical="center"/>
    </xf>
    <xf numFmtId="0" fontId="7" fillId="0" borderId="28" xfId="1" applyFont="1" applyBorder="1" applyAlignment="1">
      <alignment horizontal="right" vertical="center"/>
    </xf>
    <xf numFmtId="0" fontId="9" fillId="0" borderId="28" xfId="1" applyFont="1" applyBorder="1" applyAlignment="1">
      <alignment vertical="top" wrapText="1"/>
    </xf>
    <xf numFmtId="0" fontId="76" fillId="0" borderId="0" xfId="1" applyFont="1" applyAlignment="1">
      <alignment vertical="top"/>
    </xf>
    <xf numFmtId="0" fontId="5" fillId="0" borderId="0" xfId="1" applyProtection="1">
      <protection hidden="1"/>
    </xf>
    <xf numFmtId="0" fontId="11" fillId="0" borderId="0" xfId="1" applyFont="1" applyProtection="1">
      <protection hidden="1"/>
    </xf>
    <xf numFmtId="2" fontId="11" fillId="9" borderId="13" xfId="1" applyNumberFormat="1" applyFont="1" applyFill="1" applyBorder="1" applyAlignment="1" applyProtection="1">
      <alignment horizontal="center" vertical="center"/>
      <protection hidden="1"/>
    </xf>
    <xf numFmtId="0" fontId="18" fillId="11" borderId="11" xfId="1" applyFont="1" applyFill="1" applyBorder="1" applyAlignment="1" applyProtection="1">
      <alignment horizontal="left" vertical="top" indent="1"/>
      <protection hidden="1"/>
    </xf>
    <xf numFmtId="1" fontId="5" fillId="9" borderId="16" xfId="1" quotePrefix="1" applyNumberFormat="1" applyFill="1" applyBorder="1" applyAlignment="1" applyProtection="1">
      <alignment vertical="center"/>
      <protection hidden="1"/>
    </xf>
    <xf numFmtId="0" fontId="5" fillId="9" borderId="0" xfId="1" applyFill="1" applyAlignment="1" applyProtection="1">
      <alignment vertical="center"/>
      <protection hidden="1"/>
    </xf>
    <xf numFmtId="1" fontId="9" fillId="9" borderId="16" xfId="1" quotePrefix="1" applyNumberFormat="1" applyFont="1" applyFill="1" applyBorder="1" applyAlignment="1" applyProtection="1">
      <alignment vertical="center"/>
      <protection hidden="1"/>
    </xf>
    <xf numFmtId="0" fontId="9" fillId="9" borderId="4" xfId="1" applyFont="1" applyFill="1" applyBorder="1" applyAlignment="1" applyProtection="1">
      <alignment vertical="top"/>
      <protection hidden="1"/>
    </xf>
    <xf numFmtId="0" fontId="8" fillId="0" borderId="38" xfId="1" applyFont="1" applyBorder="1" applyAlignment="1">
      <alignment horizontal="center" vertical="center"/>
    </xf>
    <xf numFmtId="0" fontId="7" fillId="0" borderId="38" xfId="1" applyFont="1" applyBorder="1" applyAlignment="1">
      <alignment horizontal="center" vertical="center"/>
    </xf>
    <xf numFmtId="0" fontId="8" fillId="0" borderId="31" xfId="1" applyFont="1" applyBorder="1" applyAlignment="1" applyProtection="1">
      <alignment horizontal="left" vertical="center"/>
      <protection hidden="1"/>
    </xf>
    <xf numFmtId="0" fontId="11" fillId="0" borderId="22" xfId="1" quotePrefix="1" applyFont="1" applyBorder="1" applyAlignment="1" applyProtection="1">
      <alignment horizontal="center" vertical="center"/>
      <protection hidden="1"/>
    </xf>
    <xf numFmtId="0" fontId="9" fillId="9" borderId="4" xfId="1" applyFont="1" applyFill="1" applyBorder="1" applyAlignment="1" applyProtection="1">
      <alignment vertical="center"/>
      <protection hidden="1"/>
    </xf>
    <xf numFmtId="0" fontId="5" fillId="9" borderId="16" xfId="1" applyFill="1" applyBorder="1" applyAlignment="1" applyProtection="1">
      <alignment horizontal="center" vertical="center" wrapText="1"/>
      <protection hidden="1"/>
    </xf>
    <xf numFmtId="0" fontId="9" fillId="9" borderId="38" xfId="1" applyFont="1" applyFill="1" applyBorder="1" applyAlignment="1" applyProtection="1">
      <alignment horizontal="center" vertical="center"/>
      <protection hidden="1"/>
    </xf>
    <xf numFmtId="0" fontId="64" fillId="23" borderId="16" xfId="0" applyFont="1" applyFill="1" applyBorder="1" applyAlignment="1" applyProtection="1">
      <alignment horizontal="center"/>
      <protection locked="0" hidden="1"/>
    </xf>
    <xf numFmtId="0" fontId="9" fillId="0" borderId="16" xfId="1" applyFont="1" applyBorder="1" applyAlignment="1" applyProtection="1">
      <alignment horizontal="right" vertical="center"/>
      <protection hidden="1"/>
    </xf>
    <xf numFmtId="0" fontId="9" fillId="9" borderId="58" xfId="1" applyFont="1" applyFill="1" applyBorder="1" applyAlignment="1" applyProtection="1">
      <alignment horizontal="justify" vertical="center"/>
      <protection hidden="1"/>
    </xf>
    <xf numFmtId="0" fontId="9" fillId="9" borderId="43" xfId="1" applyFont="1" applyFill="1" applyBorder="1" applyAlignment="1" applyProtection="1">
      <alignment vertical="center" wrapText="1"/>
      <protection hidden="1"/>
    </xf>
    <xf numFmtId="0" fontId="9" fillId="9" borderId="43" xfId="1" applyFont="1" applyFill="1" applyBorder="1" applyAlignment="1" applyProtection="1">
      <alignment horizontal="center" wrapText="1"/>
      <protection hidden="1"/>
    </xf>
    <xf numFmtId="0" fontId="9" fillId="9" borderId="43" xfId="1" applyFont="1" applyFill="1" applyBorder="1" applyAlignment="1" applyProtection="1">
      <alignment horizontal="center" vertical="center"/>
      <protection hidden="1"/>
    </xf>
    <xf numFmtId="0" fontId="9" fillId="9" borderId="38" xfId="1" applyFont="1" applyFill="1" applyBorder="1" applyAlignment="1" applyProtection="1">
      <alignment vertical="center" wrapText="1"/>
      <protection hidden="1"/>
    </xf>
    <xf numFmtId="0" fontId="5" fillId="9" borderId="38" xfId="1" applyFill="1" applyBorder="1" applyAlignment="1" applyProtection="1">
      <alignment horizontal="left" vertical="center" wrapText="1"/>
      <protection hidden="1"/>
    </xf>
    <xf numFmtId="0" fontId="72" fillId="0" borderId="3" xfId="1" applyFont="1" applyBorder="1" applyAlignment="1" applyProtection="1">
      <alignment horizontal="center" vertical="center"/>
      <protection hidden="1"/>
    </xf>
    <xf numFmtId="0" fontId="5" fillId="9" borderId="38" xfId="1" applyFill="1" applyBorder="1" applyAlignment="1" applyProtection="1">
      <alignment vertical="center" wrapText="1"/>
      <protection hidden="1"/>
    </xf>
    <xf numFmtId="0" fontId="5" fillId="9" borderId="53" xfId="1" applyFill="1" applyBorder="1" applyAlignment="1" applyProtection="1">
      <alignment vertical="center" wrapText="1"/>
      <protection hidden="1"/>
    </xf>
    <xf numFmtId="0" fontId="5" fillId="9" borderId="53" xfId="1" applyFill="1" applyBorder="1" applyAlignment="1" applyProtection="1">
      <alignment horizontal="left" vertical="center" wrapText="1"/>
      <protection hidden="1"/>
    </xf>
    <xf numFmtId="0" fontId="9" fillId="9" borderId="53" xfId="1" applyFont="1" applyFill="1" applyBorder="1" applyAlignment="1" applyProtection="1">
      <alignment horizontal="center" vertical="center"/>
      <protection hidden="1"/>
    </xf>
    <xf numFmtId="0" fontId="9" fillId="9" borderId="38" xfId="1" applyFont="1" applyFill="1" applyBorder="1" applyAlignment="1" applyProtection="1">
      <alignment horizontal="center" vertical="center" wrapText="1"/>
      <protection hidden="1"/>
    </xf>
    <xf numFmtId="0" fontId="9" fillId="9" borderId="14" xfId="1" applyFont="1" applyFill="1" applyBorder="1" applyAlignment="1" applyProtection="1">
      <alignment horizontal="center" vertical="center"/>
      <protection hidden="1"/>
    </xf>
    <xf numFmtId="0" fontId="9" fillId="9" borderId="0" xfId="1" applyFont="1" applyFill="1" applyAlignment="1" applyProtection="1">
      <alignment horizontal="justify" vertical="center" wrapText="1"/>
      <protection hidden="1"/>
    </xf>
    <xf numFmtId="0" fontId="5" fillId="9" borderId="38" xfId="1" applyFill="1" applyBorder="1" applyAlignment="1" applyProtection="1">
      <alignment horizontal="center" vertical="center" wrapText="1"/>
      <protection hidden="1"/>
    </xf>
    <xf numFmtId="0" fontId="72" fillId="0" borderId="0" xfId="1" applyFont="1" applyAlignment="1" applyProtection="1">
      <alignment horizontal="center" vertical="center"/>
      <protection hidden="1"/>
    </xf>
    <xf numFmtId="0" fontId="9" fillId="9" borderId="126" xfId="1" applyFont="1" applyFill="1" applyBorder="1" applyAlignment="1" applyProtection="1">
      <alignment vertical="center" wrapText="1"/>
      <protection hidden="1"/>
    </xf>
    <xf numFmtId="0" fontId="5" fillId="9" borderId="126" xfId="1" applyFill="1" applyBorder="1" applyAlignment="1" applyProtection="1">
      <alignment horizontal="center" vertical="center" wrapText="1"/>
      <protection hidden="1"/>
    </xf>
    <xf numFmtId="0" fontId="9" fillId="9" borderId="126" xfId="1" applyFont="1" applyFill="1" applyBorder="1" applyAlignment="1" applyProtection="1">
      <alignment horizontal="center" vertical="center"/>
      <protection hidden="1"/>
    </xf>
    <xf numFmtId="0" fontId="9" fillId="9" borderId="126" xfId="1" applyFont="1" applyFill="1" applyBorder="1" applyAlignment="1" applyProtection="1">
      <alignment horizontal="justify" vertical="center" wrapText="1"/>
      <protection hidden="1"/>
    </xf>
    <xf numFmtId="0" fontId="72" fillId="0" borderId="0" xfId="1" applyFont="1" applyAlignment="1" applyProtection="1">
      <alignment horizontal="center" vertical="top"/>
      <protection hidden="1"/>
    </xf>
    <xf numFmtId="0" fontId="9" fillId="0" borderId="7" xfId="1" applyFont="1" applyBorder="1" applyAlignment="1" applyProtection="1">
      <alignment vertical="top"/>
      <protection hidden="1"/>
    </xf>
    <xf numFmtId="0" fontId="9" fillId="0" borderId="16" xfId="1" applyFont="1" applyBorder="1" applyAlignment="1" applyProtection="1">
      <alignment vertical="top"/>
      <protection hidden="1"/>
    </xf>
    <xf numFmtId="0" fontId="9" fillId="9" borderId="126" xfId="0" applyFont="1" applyFill="1" applyBorder="1" applyAlignment="1" applyProtection="1">
      <alignment vertical="center" wrapText="1"/>
      <protection hidden="1"/>
    </xf>
    <xf numFmtId="0" fontId="9" fillId="9" borderId="5" xfId="1" applyFont="1" applyFill="1" applyBorder="1" applyAlignment="1" applyProtection="1">
      <alignment horizontal="left" vertical="center" wrapText="1"/>
      <protection hidden="1"/>
    </xf>
    <xf numFmtId="0" fontId="9" fillId="9" borderId="14" xfId="1" applyFont="1" applyFill="1" applyBorder="1" applyAlignment="1" applyProtection="1">
      <alignment vertical="center" wrapText="1"/>
      <protection hidden="1"/>
    </xf>
    <xf numFmtId="0" fontId="5" fillId="9" borderId="43" xfId="1" applyFill="1" applyBorder="1" applyAlignment="1" applyProtection="1">
      <alignment horizontal="center" vertical="center" wrapText="1"/>
      <protection hidden="1"/>
    </xf>
    <xf numFmtId="0" fontId="72" fillId="0" borderId="3" xfId="1" applyFont="1" applyBorder="1" applyAlignment="1" applyProtection="1">
      <alignment horizontal="center" vertical="top"/>
      <protection hidden="1"/>
    </xf>
    <xf numFmtId="0" fontId="9" fillId="0" borderId="15" xfId="1" applyFont="1" applyBorder="1" applyAlignment="1" applyProtection="1">
      <alignment vertical="top"/>
      <protection hidden="1"/>
    </xf>
    <xf numFmtId="0" fontId="9" fillId="9" borderId="0" xfId="1" applyFont="1" applyFill="1" applyAlignment="1" applyProtection="1">
      <alignment horizontal="left" vertical="center" wrapText="1" indent="1"/>
      <protection hidden="1"/>
    </xf>
    <xf numFmtId="0" fontId="9" fillId="9" borderId="126" xfId="1" applyFont="1" applyFill="1" applyBorder="1" applyAlignment="1" applyProtection="1">
      <alignment horizontal="left" vertical="center" wrapText="1"/>
      <protection hidden="1"/>
    </xf>
    <xf numFmtId="0" fontId="9" fillId="9" borderId="43" xfId="1" applyFont="1" applyFill="1" applyBorder="1" applyAlignment="1" applyProtection="1">
      <alignment horizontal="left" vertical="center" wrapText="1"/>
      <protection hidden="1"/>
    </xf>
    <xf numFmtId="0" fontId="5" fillId="9" borderId="43" xfId="1" applyFill="1" applyBorder="1" applyAlignment="1" applyProtection="1">
      <alignment horizontal="center"/>
      <protection hidden="1"/>
    </xf>
    <xf numFmtId="0" fontId="5" fillId="9" borderId="126" xfId="1" applyFill="1" applyBorder="1" applyAlignment="1" applyProtection="1">
      <alignment horizontal="center" vertical="center"/>
      <protection hidden="1"/>
    </xf>
    <xf numFmtId="0" fontId="9" fillId="9" borderId="11" xfId="1" applyFont="1" applyFill="1" applyBorder="1" applyAlignment="1" applyProtection="1">
      <alignment horizontal="justify" vertical="center"/>
      <protection hidden="1"/>
    </xf>
    <xf numFmtId="0" fontId="9" fillId="9" borderId="14" xfId="1" applyFont="1" applyFill="1" applyBorder="1" applyAlignment="1" applyProtection="1">
      <alignment horizontal="left" vertical="center" wrapText="1"/>
      <protection hidden="1"/>
    </xf>
    <xf numFmtId="0" fontId="5" fillId="9" borderId="14" xfId="1" applyFill="1" applyBorder="1" applyAlignment="1" applyProtection="1">
      <alignment horizontal="center" vertical="center"/>
      <protection hidden="1"/>
    </xf>
    <xf numFmtId="0" fontId="72" fillId="0" borderId="58" xfId="1" applyFont="1" applyBorder="1" applyAlignment="1" applyProtection="1">
      <alignment horizontal="center" vertical="top"/>
      <protection hidden="1"/>
    </xf>
    <xf numFmtId="0" fontId="9" fillId="9" borderId="23" xfId="1" applyFont="1" applyFill="1" applyBorder="1" applyAlignment="1" applyProtection="1">
      <alignment horizontal="justify" vertical="center"/>
      <protection hidden="1"/>
    </xf>
    <xf numFmtId="0" fontId="9" fillId="9" borderId="47" xfId="1" applyFont="1" applyFill="1" applyBorder="1" applyAlignment="1" applyProtection="1">
      <alignment horizontal="left" vertical="center" wrapText="1"/>
      <protection hidden="1"/>
    </xf>
    <xf numFmtId="0" fontId="5" fillId="9" borderId="47" xfId="1" applyFill="1" applyBorder="1" applyAlignment="1" applyProtection="1">
      <alignment horizontal="center" vertical="center"/>
      <protection hidden="1"/>
    </xf>
    <xf numFmtId="0" fontId="9" fillId="9" borderId="47" xfId="1" applyFont="1" applyFill="1" applyBorder="1" applyAlignment="1" applyProtection="1">
      <alignment horizontal="center" vertical="center"/>
      <protection hidden="1"/>
    </xf>
    <xf numFmtId="0" fontId="72" fillId="0" borderId="5" xfId="1" applyFont="1" applyBorder="1" applyAlignment="1" applyProtection="1">
      <alignment horizontal="center" vertical="top"/>
      <protection hidden="1"/>
    </xf>
    <xf numFmtId="0" fontId="9" fillId="9" borderId="3" xfId="1" applyFont="1" applyFill="1" applyBorder="1" applyAlignment="1" applyProtection="1">
      <alignment horizontal="justify" vertical="center"/>
      <protection hidden="1"/>
    </xf>
    <xf numFmtId="0" fontId="9" fillId="9" borderId="3" xfId="1" applyFont="1" applyFill="1" applyBorder="1" applyAlignment="1" applyProtection="1">
      <alignment horizontal="justify" vertical="top"/>
      <protection hidden="1"/>
    </xf>
    <xf numFmtId="0" fontId="9" fillId="9" borderId="42" xfId="1" applyFont="1" applyFill="1" applyBorder="1" applyAlignment="1" applyProtection="1">
      <alignment horizontal="left" vertical="center" wrapText="1"/>
      <protection hidden="1"/>
    </xf>
    <xf numFmtId="0" fontId="9" fillId="9" borderId="5" xfId="1" applyFont="1" applyFill="1" applyBorder="1" applyAlignment="1" applyProtection="1">
      <alignment horizontal="justify" vertical="center"/>
      <protection hidden="1"/>
    </xf>
    <xf numFmtId="0" fontId="9" fillId="9" borderId="121" xfId="1" applyFont="1" applyFill="1" applyBorder="1" applyAlignment="1" applyProtection="1">
      <alignment horizontal="left" vertical="center" wrapText="1"/>
      <protection hidden="1"/>
    </xf>
    <xf numFmtId="0" fontId="9" fillId="9" borderId="121" xfId="1" applyFont="1" applyFill="1" applyBorder="1" applyAlignment="1" applyProtection="1">
      <alignment horizontal="center" vertical="center"/>
      <protection hidden="1"/>
    </xf>
    <xf numFmtId="0" fontId="9" fillId="9" borderId="53" xfId="1" applyFont="1" applyFill="1" applyBorder="1" applyAlignment="1" applyProtection="1">
      <alignment horizontal="left" wrapText="1"/>
      <protection hidden="1"/>
    </xf>
    <xf numFmtId="0" fontId="5" fillId="9" borderId="126" xfId="1" applyFill="1" applyBorder="1" applyAlignment="1" applyProtection="1">
      <alignment horizontal="center" wrapText="1"/>
      <protection hidden="1"/>
    </xf>
    <xf numFmtId="0" fontId="9" fillId="9" borderId="126" xfId="1" applyFont="1" applyFill="1" applyBorder="1" applyAlignment="1" applyProtection="1">
      <alignment horizontal="center"/>
      <protection hidden="1"/>
    </xf>
    <xf numFmtId="0" fontId="9" fillId="9" borderId="53" xfId="1" applyFont="1" applyFill="1" applyBorder="1" applyAlignment="1" applyProtection="1">
      <alignment horizontal="left" vertical="center" wrapText="1"/>
      <protection hidden="1"/>
    </xf>
    <xf numFmtId="0" fontId="9" fillId="9" borderId="0" xfId="1" applyFont="1" applyFill="1" applyAlignment="1" applyProtection="1">
      <alignment horizontal="justify" vertical="center"/>
      <protection hidden="1"/>
    </xf>
    <xf numFmtId="0" fontId="5" fillId="9" borderId="121" xfId="1" applyFill="1" applyBorder="1" applyAlignment="1" applyProtection="1">
      <alignment horizontal="center" vertical="center" wrapText="1"/>
      <protection hidden="1"/>
    </xf>
    <xf numFmtId="0" fontId="5" fillId="9" borderId="126" xfId="1" applyFill="1" applyBorder="1" applyAlignment="1" applyProtection="1">
      <alignment horizontal="center" vertical="top" wrapText="1"/>
      <protection hidden="1"/>
    </xf>
    <xf numFmtId="0" fontId="9" fillId="9" borderId="38" xfId="1" applyFont="1" applyFill="1" applyBorder="1" applyAlignment="1" applyProtection="1">
      <alignment horizontal="left" vertical="center" wrapText="1"/>
      <protection hidden="1"/>
    </xf>
    <xf numFmtId="0" fontId="9" fillId="9" borderId="58" xfId="1" applyFont="1" applyFill="1" applyBorder="1" applyAlignment="1" applyProtection="1">
      <alignment horizontal="justify" vertical="center" wrapText="1"/>
      <protection hidden="1"/>
    </xf>
    <xf numFmtId="0" fontId="9" fillId="9" borderId="42" xfId="1" applyFont="1" applyFill="1" applyBorder="1" applyAlignment="1" applyProtection="1">
      <alignment vertical="center" wrapText="1"/>
      <protection hidden="1"/>
    </xf>
    <xf numFmtId="0" fontId="72" fillId="0" borderId="38" xfId="1" applyFont="1" applyBorder="1" applyAlignment="1" applyProtection="1">
      <alignment horizontal="center" vertical="top"/>
      <protection hidden="1"/>
    </xf>
    <xf numFmtId="0" fontId="9" fillId="9" borderId="0" xfId="1" applyFont="1" applyFill="1" applyAlignment="1" applyProtection="1">
      <alignment vertical="center" wrapText="1"/>
      <protection hidden="1"/>
    </xf>
    <xf numFmtId="0" fontId="72" fillId="0" borderId="15" xfId="1" applyFont="1" applyBorder="1" applyAlignment="1" applyProtection="1">
      <alignment horizontal="center" vertical="top"/>
      <protection hidden="1"/>
    </xf>
    <xf numFmtId="0" fontId="9" fillId="9" borderId="23" xfId="1" applyFont="1" applyFill="1" applyBorder="1" applyAlignment="1" applyProtection="1">
      <alignment horizontal="left" vertical="top" wrapText="1"/>
      <protection hidden="1"/>
    </xf>
    <xf numFmtId="0" fontId="9" fillId="9" borderId="47" xfId="1" applyFont="1" applyFill="1" applyBorder="1" applyAlignment="1" applyProtection="1">
      <alignment vertical="center" wrapText="1"/>
      <protection hidden="1"/>
    </xf>
    <xf numFmtId="0" fontId="9" fillId="9" borderId="121" xfId="1" applyFont="1" applyFill="1" applyBorder="1" applyAlignment="1" applyProtection="1">
      <alignment vertical="center" wrapText="1"/>
      <protection hidden="1"/>
    </xf>
    <xf numFmtId="0" fontId="9" fillId="9" borderId="134" xfId="1" applyFont="1" applyFill="1" applyBorder="1" applyAlignment="1" applyProtection="1">
      <alignment horizontal="justify" vertical="top"/>
      <protection hidden="1"/>
    </xf>
    <xf numFmtId="0" fontId="9" fillId="9" borderId="47" xfId="1" applyFont="1" applyFill="1" applyBorder="1" applyAlignment="1" applyProtection="1">
      <alignment horizontal="center" vertical="top"/>
      <protection hidden="1"/>
    </xf>
    <xf numFmtId="0" fontId="5" fillId="9" borderId="14" xfId="1" applyFill="1" applyBorder="1" applyAlignment="1" applyProtection="1">
      <alignment horizontal="center" vertical="top" wrapText="1"/>
      <protection hidden="1"/>
    </xf>
    <xf numFmtId="0" fontId="72" fillId="0" borderId="22" xfId="1" applyFont="1" applyBorder="1" applyAlignment="1" applyProtection="1">
      <alignment horizontal="center" vertical="top"/>
      <protection hidden="1"/>
    </xf>
    <xf numFmtId="0" fontId="9" fillId="0" borderId="31" xfId="1" applyFont="1" applyBorder="1" applyAlignment="1" applyProtection="1">
      <alignment vertical="top"/>
      <protection hidden="1"/>
    </xf>
    <xf numFmtId="0" fontId="2" fillId="18" borderId="48" xfId="0" applyFont="1" applyFill="1" applyBorder="1" applyAlignment="1" applyProtection="1">
      <alignment horizontal="right"/>
      <protection hidden="1"/>
    </xf>
    <xf numFmtId="0" fontId="5" fillId="9" borderId="35" xfId="0" applyFont="1" applyFill="1" applyBorder="1" applyAlignment="1">
      <alignment horizontal="center" vertical="center"/>
    </xf>
    <xf numFmtId="0" fontId="5" fillId="9" borderId="11" xfId="0" applyFont="1" applyFill="1" applyBorder="1" applyAlignment="1">
      <alignment horizontal="center" vertical="center"/>
    </xf>
    <xf numFmtId="2" fontId="5" fillId="7" borderId="7" xfId="0" applyNumberFormat="1" applyFont="1" applyFill="1" applyBorder="1" applyAlignment="1" applyProtection="1">
      <alignment vertical="center"/>
      <protection hidden="1"/>
    </xf>
    <xf numFmtId="2" fontId="3" fillId="9" borderId="13" xfId="0" applyNumberFormat="1" applyFont="1" applyFill="1" applyBorder="1" applyAlignment="1" applyProtection="1">
      <alignment horizontal="center" vertical="center" wrapText="1"/>
      <protection hidden="1"/>
    </xf>
    <xf numFmtId="0" fontId="2" fillId="9" borderId="16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vertical="center"/>
      <protection hidden="1"/>
    </xf>
    <xf numFmtId="0" fontId="5" fillId="6" borderId="13" xfId="0" applyFont="1" applyFill="1" applyBorder="1" applyAlignment="1" applyProtection="1">
      <alignment horizontal="right" vertical="center"/>
      <protection hidden="1"/>
    </xf>
    <xf numFmtId="0" fontId="5" fillId="6" borderId="13" xfId="0" applyFont="1" applyFill="1" applyBorder="1" applyAlignment="1" applyProtection="1">
      <alignment horizontal="center" vertical="center"/>
      <protection hidden="1"/>
    </xf>
    <xf numFmtId="0" fontId="5" fillId="2" borderId="31" xfId="0" applyFont="1" applyFill="1" applyBorder="1" applyAlignment="1" applyProtection="1">
      <alignment horizontal="center" vertical="center"/>
      <protection hidden="1"/>
    </xf>
    <xf numFmtId="0" fontId="5" fillId="0" borderId="137" xfId="0" applyFont="1" applyBorder="1" applyProtection="1">
      <protection hidden="1"/>
    </xf>
    <xf numFmtId="0" fontId="5" fillId="0" borderId="137" xfId="0" applyFont="1" applyBorder="1" applyAlignment="1" applyProtection="1">
      <alignment vertical="center"/>
      <protection hidden="1"/>
    </xf>
    <xf numFmtId="0" fontId="0" fillId="0" borderId="19" xfId="0" applyBorder="1" applyAlignment="1" applyProtection="1">
      <alignment horizontal="right"/>
      <protection hidden="1"/>
    </xf>
    <xf numFmtId="0" fontId="3" fillId="2" borderId="13" xfId="0" applyFont="1" applyFill="1" applyBorder="1" applyAlignment="1" applyProtection="1">
      <alignment horizontal="center" vertical="center"/>
      <protection locked="0" hidden="1"/>
    </xf>
    <xf numFmtId="2" fontId="5" fillId="6" borderId="31" xfId="0" applyNumberFormat="1" applyFont="1" applyFill="1" applyBorder="1" applyAlignment="1" applyProtection="1">
      <alignment horizontal="right" vertical="center" wrapText="1"/>
      <protection hidden="1"/>
    </xf>
    <xf numFmtId="0" fontId="11" fillId="0" borderId="0" xfId="0" applyFont="1" applyAlignment="1" applyProtection="1">
      <alignment horizontal="left" vertical="center"/>
      <protection hidden="1"/>
    </xf>
    <xf numFmtId="2" fontId="2" fillId="6" borderId="38" xfId="0" applyNumberFormat="1" applyFont="1" applyFill="1" applyBorder="1" applyAlignment="1" applyProtection="1">
      <alignment vertical="center"/>
      <protection hidden="1"/>
    </xf>
    <xf numFmtId="0" fontId="21" fillId="0" borderId="15" xfId="0" applyFont="1" applyBorder="1" applyAlignment="1" applyProtection="1">
      <alignment horizontal="left" vertical="center"/>
      <protection hidden="1"/>
    </xf>
    <xf numFmtId="0" fontId="21" fillId="0" borderId="7" xfId="0" applyFont="1" applyBorder="1" applyAlignment="1" applyProtection="1">
      <alignment horizontal="left" vertical="center"/>
      <protection hidden="1"/>
    </xf>
    <xf numFmtId="0" fontId="7" fillId="0" borderId="28" xfId="0" applyFont="1" applyBorder="1" applyAlignment="1" applyProtection="1">
      <alignment horizontal="center" vertical="center"/>
      <protection hidden="1"/>
    </xf>
    <xf numFmtId="0" fontId="5" fillId="9" borderId="140" xfId="0" applyFont="1" applyFill="1" applyBorder="1" applyAlignment="1" applyProtection="1">
      <alignment horizontal="center" vertical="center"/>
      <protection hidden="1"/>
    </xf>
    <xf numFmtId="0" fontId="9" fillId="9" borderId="6" xfId="0" applyFont="1" applyFill="1" applyBorder="1" applyAlignment="1" applyProtection="1">
      <alignment horizontal="center"/>
      <protection hidden="1"/>
    </xf>
    <xf numFmtId="2" fontId="5" fillId="0" borderId="0" xfId="0" applyNumberFormat="1" applyFont="1" applyAlignment="1" applyProtection="1">
      <alignment vertical="center"/>
      <protection hidden="1"/>
    </xf>
    <xf numFmtId="171" fontId="9" fillId="0" borderId="0" xfId="0" applyNumberFormat="1" applyFont="1" applyAlignment="1" applyProtection="1">
      <alignment horizontal="left" vertical="center"/>
      <protection hidden="1"/>
    </xf>
    <xf numFmtId="0" fontId="9" fillId="9" borderId="4" xfId="0" applyFont="1" applyFill="1" applyBorder="1" applyAlignment="1">
      <alignment horizontal="center" vertical="center"/>
    </xf>
    <xf numFmtId="0" fontId="5" fillId="9" borderId="6" xfId="0" applyFont="1" applyFill="1" applyBorder="1" applyAlignment="1" applyProtection="1">
      <alignment horizontal="center"/>
      <protection hidden="1"/>
    </xf>
    <xf numFmtId="0" fontId="5" fillId="9" borderId="8" xfId="0" applyFont="1" applyFill="1" applyBorder="1" applyAlignment="1" applyProtection="1">
      <alignment horizontal="left" vertical="center"/>
      <protection hidden="1"/>
    </xf>
    <xf numFmtId="0" fontId="7" fillId="0" borderId="23" xfId="0" applyFont="1" applyBorder="1" applyAlignment="1" applyProtection="1">
      <alignment horizontal="center" vertical="center"/>
      <protection hidden="1"/>
    </xf>
    <xf numFmtId="165" fontId="5" fillId="6" borderId="142" xfId="0" applyNumberFormat="1" applyFont="1" applyFill="1" applyBorder="1" applyAlignment="1" applyProtection="1">
      <alignment horizontal="right"/>
      <protection hidden="1"/>
    </xf>
    <xf numFmtId="0" fontId="9" fillId="9" borderId="3" xfId="1" applyFont="1" applyFill="1" applyBorder="1" applyAlignment="1" applyProtection="1">
      <alignment vertical="center" wrapText="1"/>
      <protection hidden="1"/>
    </xf>
    <xf numFmtId="0" fontId="0" fillId="0" borderId="52" xfId="0" applyBorder="1" applyAlignment="1" applyProtection="1">
      <alignment horizontal="left"/>
      <protection hidden="1"/>
    </xf>
    <xf numFmtId="9" fontId="5" fillId="6" borderId="13" xfId="0" applyNumberFormat="1" applyFont="1" applyFill="1" applyBorder="1" applyAlignment="1" applyProtection="1">
      <alignment horizontal="right" vertical="center"/>
      <protection hidden="1"/>
    </xf>
    <xf numFmtId="0" fontId="9" fillId="9" borderId="53" xfId="1" applyFont="1" applyFill="1" applyBorder="1" applyAlignment="1" applyProtection="1">
      <alignment vertical="center" wrapText="1"/>
      <protection hidden="1"/>
    </xf>
    <xf numFmtId="2" fontId="5" fillId="0" borderId="22" xfId="0" applyNumberFormat="1" applyFont="1" applyBorder="1"/>
    <xf numFmtId="0" fontId="5" fillId="0" borderId="22" xfId="0" applyFont="1" applyBorder="1"/>
    <xf numFmtId="165" fontId="5" fillId="9" borderId="31" xfId="0" applyNumberFormat="1" applyFont="1" applyFill="1" applyBorder="1" applyAlignment="1" applyProtection="1">
      <alignment horizontal="center" vertical="center" wrapText="1"/>
      <protection hidden="1"/>
    </xf>
    <xf numFmtId="165" fontId="5" fillId="0" borderId="22" xfId="0" applyNumberFormat="1" applyFont="1" applyBorder="1"/>
    <xf numFmtId="0" fontId="91" fillId="0" borderId="0" xfId="0" applyFont="1" applyProtection="1">
      <protection hidden="1"/>
    </xf>
    <xf numFmtId="0" fontId="9" fillId="6" borderId="13" xfId="0" applyFont="1" applyFill="1" applyBorder="1" applyAlignment="1" applyProtection="1">
      <alignment horizontal="right" vertical="center"/>
      <protection hidden="1"/>
    </xf>
    <xf numFmtId="0" fontId="2" fillId="19" borderId="161" xfId="0" applyFont="1" applyFill="1" applyBorder="1" applyAlignment="1" applyProtection="1">
      <alignment horizontal="center" vertical="center"/>
      <protection hidden="1"/>
    </xf>
    <xf numFmtId="1" fontId="2" fillId="4" borderId="50" xfId="0" applyNumberFormat="1" applyFont="1" applyFill="1" applyBorder="1" applyAlignment="1" applyProtection="1">
      <alignment horizontal="left" vertical="center"/>
      <protection hidden="1"/>
    </xf>
    <xf numFmtId="49" fontId="2" fillId="19" borderId="143" xfId="0" applyNumberFormat="1" applyFont="1" applyFill="1" applyBorder="1" applyAlignment="1" applyProtection="1">
      <alignment vertical="center"/>
      <protection hidden="1"/>
    </xf>
    <xf numFmtId="1" fontId="2" fillId="4" borderId="14" xfId="0" applyNumberFormat="1" applyFont="1" applyFill="1" applyBorder="1" applyAlignment="1" applyProtection="1">
      <alignment horizontal="left" vertical="center"/>
      <protection hidden="1"/>
    </xf>
    <xf numFmtId="0" fontId="2" fillId="2" borderId="11" xfId="0" applyFont="1" applyFill="1" applyBorder="1" applyAlignment="1" applyProtection="1">
      <alignment horizontal="left" vertical="center"/>
      <protection hidden="1"/>
    </xf>
    <xf numFmtId="0" fontId="3" fillId="2" borderId="9" xfId="0" applyFont="1" applyFill="1" applyBorder="1" applyAlignment="1" applyProtection="1">
      <alignment horizontal="center" vertical="center"/>
      <protection hidden="1"/>
    </xf>
    <xf numFmtId="0" fontId="5" fillId="2" borderId="22" xfId="0" applyFont="1" applyFill="1" applyBorder="1" applyAlignment="1" applyProtection="1">
      <alignment vertical="center"/>
      <protection hidden="1"/>
    </xf>
    <xf numFmtId="0" fontId="84" fillId="5" borderId="141" xfId="0" applyFont="1" applyFill="1" applyBorder="1" applyProtection="1">
      <protection hidden="1"/>
    </xf>
    <xf numFmtId="0" fontId="9" fillId="9" borderId="7" xfId="1" applyFont="1" applyFill="1" applyBorder="1" applyAlignment="1" applyProtection="1">
      <alignment horizontal="center" vertical="center"/>
      <protection hidden="1"/>
    </xf>
    <xf numFmtId="169" fontId="3" fillId="0" borderId="0" xfId="1" applyNumberFormat="1" applyFont="1" applyAlignment="1" applyProtection="1">
      <alignment horizontal="center"/>
      <protection hidden="1"/>
    </xf>
    <xf numFmtId="0" fontId="2" fillId="19" borderId="143" xfId="0" applyFont="1" applyFill="1" applyBorder="1" applyAlignment="1" applyProtection="1">
      <alignment horizontal="left" vertical="center"/>
      <protection hidden="1"/>
    </xf>
    <xf numFmtId="1" fontId="2" fillId="4" borderId="9" xfId="0" applyNumberFormat="1" applyFont="1" applyFill="1" applyBorder="1" applyAlignment="1" applyProtection="1">
      <alignment horizontal="left" vertical="center"/>
      <protection hidden="1"/>
    </xf>
    <xf numFmtId="0" fontId="5" fillId="9" borderId="17" xfId="1" applyFill="1" applyBorder="1" applyAlignment="1" applyProtection="1">
      <alignment horizontal="center" vertical="center"/>
      <protection hidden="1"/>
    </xf>
    <xf numFmtId="0" fontId="5" fillId="9" borderId="127" xfId="1" applyFill="1" applyBorder="1" applyAlignment="1" applyProtection="1">
      <alignment horizontal="center" vertical="center"/>
      <protection hidden="1"/>
    </xf>
    <xf numFmtId="165" fontId="5" fillId="0" borderId="145" xfId="0" applyNumberFormat="1" applyFont="1" applyBorder="1" applyAlignment="1" applyProtection="1">
      <alignment vertical="center"/>
      <protection hidden="1"/>
    </xf>
    <xf numFmtId="165" fontId="2" fillId="0" borderId="14" xfId="0" applyNumberFormat="1" applyFont="1" applyBorder="1" applyAlignment="1" applyProtection="1">
      <alignment vertical="center"/>
      <protection hidden="1"/>
    </xf>
    <xf numFmtId="165" fontId="5" fillId="0" borderId="146" xfId="0" applyNumberFormat="1" applyFont="1" applyBorder="1" applyAlignment="1" applyProtection="1">
      <alignment vertical="center"/>
      <protection hidden="1"/>
    </xf>
    <xf numFmtId="165" fontId="2" fillId="0" borderId="57" xfId="0" applyNumberFormat="1" applyFont="1" applyBorder="1" applyAlignment="1" applyProtection="1">
      <alignment vertical="center"/>
      <protection hidden="1"/>
    </xf>
    <xf numFmtId="165" fontId="0" fillId="8" borderId="43" xfId="0" applyNumberFormat="1" applyFill="1" applyBorder="1" applyAlignment="1" applyProtection="1">
      <alignment horizontal="center" vertical="center"/>
      <protection hidden="1"/>
    </xf>
    <xf numFmtId="165" fontId="5" fillId="8" borderId="13" xfId="0" applyNumberFormat="1" applyFont="1" applyFill="1" applyBorder="1" applyAlignment="1" applyProtection="1">
      <alignment horizontal="center" vertical="center"/>
      <protection hidden="1"/>
    </xf>
    <xf numFmtId="0" fontId="5" fillId="2" borderId="58" xfId="0" applyFont="1" applyFill="1" applyBorder="1" applyAlignment="1" applyProtection="1">
      <alignment horizontal="right" vertical="center"/>
      <protection hidden="1"/>
    </xf>
    <xf numFmtId="0" fontId="5" fillId="2" borderId="22" xfId="0" applyFont="1" applyFill="1" applyBorder="1" applyAlignment="1" applyProtection="1">
      <alignment horizontal="right" vertical="center"/>
      <protection hidden="1"/>
    </xf>
    <xf numFmtId="0" fontId="5" fillId="9" borderId="124" xfId="1" applyFill="1" applyBorder="1" applyAlignment="1" applyProtection="1">
      <alignment horizontal="center" vertical="center" wrapText="1"/>
      <protection hidden="1"/>
    </xf>
    <xf numFmtId="0" fontId="9" fillId="9" borderId="41" xfId="1" applyFont="1" applyFill="1" applyBorder="1" applyAlignment="1" applyProtection="1">
      <alignment horizontal="center" vertical="center"/>
      <protection hidden="1"/>
    </xf>
    <xf numFmtId="165" fontId="92" fillId="24" borderId="13" xfId="0" applyNumberFormat="1" applyFont="1" applyFill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0" fontId="9" fillId="9" borderId="28" xfId="0" applyFont="1" applyFill="1" applyBorder="1" applyAlignment="1" applyProtection="1">
      <alignment vertical="center"/>
      <protection hidden="1"/>
    </xf>
    <xf numFmtId="0" fontId="7" fillId="9" borderId="40" xfId="0" applyFont="1" applyFill="1" applyBorder="1" applyAlignment="1" applyProtection="1">
      <alignment horizontal="left" vertical="center"/>
      <protection hidden="1"/>
    </xf>
    <xf numFmtId="0" fontId="9" fillId="2" borderId="23" xfId="1" applyFont="1" applyFill="1" applyBorder="1" applyProtection="1">
      <protection hidden="1"/>
    </xf>
    <xf numFmtId="0" fontId="9" fillId="2" borderId="0" xfId="1" applyFont="1" applyFill="1" applyAlignment="1" applyProtection="1">
      <alignment vertical="center"/>
      <protection hidden="1"/>
    </xf>
    <xf numFmtId="165" fontId="93" fillId="8" borderId="13" xfId="0" applyNumberFormat="1" applyFont="1" applyFill="1" applyBorder="1" applyAlignment="1" applyProtection="1">
      <alignment vertical="center"/>
      <protection hidden="1"/>
    </xf>
    <xf numFmtId="0" fontId="10" fillId="2" borderId="23" xfId="1" applyFont="1" applyFill="1" applyBorder="1" applyAlignment="1" applyProtection="1">
      <alignment vertical="center"/>
      <protection hidden="1"/>
    </xf>
    <xf numFmtId="0" fontId="2" fillId="2" borderId="0" xfId="1" applyFont="1" applyFill="1" applyAlignment="1" applyProtection="1">
      <alignment horizontal="right" vertical="center"/>
      <protection hidden="1"/>
    </xf>
    <xf numFmtId="0" fontId="2" fillId="2" borderId="15" xfId="1" applyFont="1" applyFill="1" applyBorder="1" applyAlignment="1" applyProtection="1">
      <alignment horizontal="right" vertical="center"/>
      <protection hidden="1"/>
    </xf>
    <xf numFmtId="0" fontId="10" fillId="2" borderId="43" xfId="1" applyFont="1" applyFill="1" applyBorder="1" applyAlignment="1" applyProtection="1">
      <alignment horizontal="center" vertical="center"/>
      <protection hidden="1"/>
    </xf>
    <xf numFmtId="0" fontId="2" fillId="19" borderId="162" xfId="0" applyFont="1" applyFill="1" applyBorder="1" applyAlignment="1" applyProtection="1">
      <alignment horizontal="center" vertical="center"/>
      <protection hidden="1"/>
    </xf>
    <xf numFmtId="0" fontId="94" fillId="0" borderId="0" xfId="0" applyFont="1" applyProtection="1">
      <protection hidden="1"/>
    </xf>
    <xf numFmtId="0" fontId="5" fillId="2" borderId="28" xfId="1" applyFill="1" applyBorder="1" applyProtection="1">
      <protection hidden="1"/>
    </xf>
    <xf numFmtId="0" fontId="5" fillId="2" borderId="22" xfId="1" applyFill="1" applyBorder="1" applyProtection="1">
      <protection hidden="1"/>
    </xf>
    <xf numFmtId="0" fontId="5" fillId="2" borderId="31" xfId="1" applyFill="1" applyBorder="1" applyProtection="1">
      <protection hidden="1"/>
    </xf>
    <xf numFmtId="0" fontId="2" fillId="2" borderId="43" xfId="1" applyFont="1" applyFill="1" applyBorder="1" applyAlignment="1" applyProtection="1">
      <alignment horizontal="right" vertical="center"/>
      <protection hidden="1"/>
    </xf>
    <xf numFmtId="0" fontId="9" fillId="2" borderId="58" xfId="1" applyFont="1" applyFill="1" applyBorder="1" applyAlignment="1" applyProtection="1">
      <alignment horizontal="right"/>
      <protection hidden="1"/>
    </xf>
    <xf numFmtId="165" fontId="2" fillId="4" borderId="13" xfId="0" applyNumberFormat="1" applyFont="1" applyFill="1" applyBorder="1" applyAlignment="1" applyProtection="1">
      <alignment vertical="center"/>
      <protection hidden="1"/>
    </xf>
    <xf numFmtId="165" fontId="2" fillId="0" borderId="0" xfId="0" applyNumberFormat="1" applyFont="1" applyProtection="1">
      <protection hidden="1"/>
    </xf>
    <xf numFmtId="0" fontId="7" fillId="0" borderId="0" xfId="0" applyFont="1" applyProtection="1">
      <protection hidden="1"/>
    </xf>
    <xf numFmtId="0" fontId="2" fillId="2" borderId="31" xfId="1" applyFont="1" applyFill="1" applyBorder="1" applyAlignment="1" applyProtection="1">
      <alignment vertical="center"/>
      <protection hidden="1"/>
    </xf>
    <xf numFmtId="0" fontId="7" fillId="9" borderId="0" xfId="0" applyFont="1" applyFill="1" applyAlignment="1" applyProtection="1">
      <alignment vertical="center"/>
      <protection hidden="1"/>
    </xf>
    <xf numFmtId="165" fontId="9" fillId="3" borderId="49" xfId="1" applyNumberFormat="1" applyFont="1" applyFill="1" applyBorder="1" applyAlignment="1" applyProtection="1">
      <alignment vertical="center"/>
      <protection hidden="1"/>
    </xf>
    <xf numFmtId="0" fontId="9" fillId="9" borderId="4" xfId="0" applyFont="1" applyFill="1" applyBorder="1" applyAlignment="1">
      <alignment horizontal="left" vertical="center"/>
    </xf>
    <xf numFmtId="165" fontId="9" fillId="6" borderId="49" xfId="1" applyNumberFormat="1" applyFont="1" applyFill="1" applyBorder="1" applyAlignment="1" applyProtection="1">
      <alignment vertical="center"/>
      <protection hidden="1"/>
    </xf>
    <xf numFmtId="165" fontId="9" fillId="3" borderId="140" xfId="1" applyNumberFormat="1" applyFont="1" applyFill="1" applyBorder="1" applyAlignment="1" applyProtection="1">
      <alignment vertical="center"/>
      <protection hidden="1"/>
    </xf>
    <xf numFmtId="0" fontId="5" fillId="9" borderId="36" xfId="1" applyFill="1" applyBorder="1" applyAlignment="1" applyProtection="1">
      <alignment horizontal="center" vertical="center"/>
      <protection hidden="1"/>
    </xf>
    <xf numFmtId="0" fontId="3" fillId="9" borderId="51" xfId="1" applyFont="1" applyFill="1" applyBorder="1" applyAlignment="1" applyProtection="1">
      <alignment horizontal="center" vertical="center"/>
      <protection hidden="1"/>
    </xf>
    <xf numFmtId="0" fontId="3" fillId="9" borderId="8" xfId="1" applyFont="1" applyFill="1" applyBorder="1" applyAlignment="1" applyProtection="1">
      <alignment horizontal="center" vertical="center"/>
      <protection hidden="1"/>
    </xf>
    <xf numFmtId="2" fontId="5" fillId="16" borderId="13" xfId="0" applyNumberFormat="1" applyFont="1" applyFill="1" applyBorder="1" applyAlignment="1" applyProtection="1">
      <alignment vertical="center"/>
      <protection hidden="1"/>
    </xf>
    <xf numFmtId="1" fontId="2" fillId="10" borderId="13" xfId="0" applyNumberFormat="1" applyFont="1" applyFill="1" applyBorder="1" applyAlignment="1" applyProtection="1">
      <alignment horizontal="center" vertical="center"/>
      <protection hidden="1"/>
    </xf>
    <xf numFmtId="169" fontId="95" fillId="0" borderId="23" xfId="0" applyNumberFormat="1" applyFont="1" applyBorder="1" applyAlignment="1" applyProtection="1">
      <alignment horizontal="left"/>
      <protection hidden="1"/>
    </xf>
    <xf numFmtId="0" fontId="5" fillId="9" borderId="14" xfId="0" applyFont="1" applyFill="1" applyBorder="1" applyAlignment="1">
      <alignment horizontal="left"/>
    </xf>
    <xf numFmtId="12" fontId="5" fillId="9" borderId="13" xfId="0" applyNumberFormat="1" applyFont="1" applyFill="1" applyBorder="1" applyAlignment="1">
      <alignment horizontal="right"/>
    </xf>
    <xf numFmtId="0" fontId="5" fillId="9" borderId="13" xfId="0" applyFont="1" applyFill="1" applyBorder="1" applyAlignment="1">
      <alignment horizontal="left"/>
    </xf>
    <xf numFmtId="2" fontId="5" fillId="9" borderId="14" xfId="0" applyNumberFormat="1" applyFont="1" applyFill="1" applyBorder="1" applyAlignment="1">
      <alignment horizontal="right"/>
    </xf>
    <xf numFmtId="2" fontId="3" fillId="9" borderId="14" xfId="0" applyNumberFormat="1" applyFont="1" applyFill="1" applyBorder="1" applyAlignment="1">
      <alignment horizontal="right"/>
    </xf>
    <xf numFmtId="0" fontId="3" fillId="0" borderId="0" xfId="0" applyFont="1" applyAlignment="1" applyProtection="1">
      <alignment horizontal="center"/>
      <protection hidden="1"/>
    </xf>
    <xf numFmtId="0" fontId="2" fillId="2" borderId="147" xfId="0" applyFont="1" applyFill="1" applyBorder="1" applyAlignment="1" applyProtection="1">
      <alignment horizontal="left" vertical="center"/>
      <protection hidden="1"/>
    </xf>
    <xf numFmtId="0" fontId="5" fillId="8" borderId="3" xfId="0" applyFont="1" applyFill="1" applyBorder="1" applyAlignment="1" applyProtection="1">
      <alignment horizontal="left"/>
      <protection hidden="1"/>
    </xf>
    <xf numFmtId="0" fontId="7" fillId="0" borderId="0" xfId="0" applyFont="1" applyAlignment="1" applyProtection="1">
      <alignment horizontal="left"/>
      <protection hidden="1"/>
    </xf>
    <xf numFmtId="1" fontId="2" fillId="8" borderId="3" xfId="0" applyNumberFormat="1" applyFont="1" applyFill="1" applyBorder="1" applyAlignment="1" applyProtection="1">
      <alignment horizontal="center"/>
      <protection hidden="1"/>
    </xf>
    <xf numFmtId="2" fontId="9" fillId="0" borderId="0" xfId="0" applyNumberFormat="1" applyFont="1" applyAlignment="1" applyProtection="1">
      <alignment vertical="center"/>
      <protection hidden="1"/>
    </xf>
    <xf numFmtId="0" fontId="0" fillId="0" borderId="0" xfId="0" applyAlignment="1">
      <alignment vertical="center"/>
    </xf>
    <xf numFmtId="0" fontId="2" fillId="9" borderId="22" xfId="0" applyFont="1" applyFill="1" applyBorder="1" applyAlignment="1" applyProtection="1">
      <alignment horizontal="center" vertical="center"/>
      <protection hidden="1"/>
    </xf>
    <xf numFmtId="0" fontId="9" fillId="2" borderId="3" xfId="1" applyFont="1" applyFill="1" applyBorder="1" applyAlignment="1" applyProtection="1">
      <alignment horizontal="right"/>
      <protection hidden="1"/>
    </xf>
    <xf numFmtId="0" fontId="9" fillId="2" borderId="43" xfId="1" applyFont="1" applyFill="1" applyBorder="1" applyAlignment="1" applyProtection="1">
      <alignment horizontal="left"/>
      <protection hidden="1"/>
    </xf>
    <xf numFmtId="0" fontId="9" fillId="2" borderId="38" xfId="1" applyFont="1" applyFill="1" applyBorder="1" applyAlignment="1" applyProtection="1">
      <alignment horizontal="left"/>
      <protection hidden="1"/>
    </xf>
    <xf numFmtId="0" fontId="9" fillId="2" borderId="14" xfId="1" applyFont="1" applyFill="1" applyBorder="1" applyAlignment="1" applyProtection="1">
      <alignment horizontal="left"/>
      <protection hidden="1"/>
    </xf>
    <xf numFmtId="0" fontId="9" fillId="2" borderId="5" xfId="1" applyFont="1" applyFill="1" applyBorder="1" applyAlignment="1" applyProtection="1">
      <alignment horizontal="right"/>
      <protection hidden="1"/>
    </xf>
    <xf numFmtId="1" fontId="7" fillId="8" borderId="13" xfId="0" applyNumberFormat="1" applyFont="1" applyFill="1" applyBorder="1" applyAlignment="1" applyProtection="1">
      <alignment horizontal="center" vertical="center"/>
      <protection hidden="1"/>
    </xf>
    <xf numFmtId="0" fontId="2" fillId="18" borderId="125" xfId="0" applyFont="1" applyFill="1" applyBorder="1" applyAlignment="1" applyProtection="1">
      <alignment horizontal="right"/>
      <protection hidden="1"/>
    </xf>
    <xf numFmtId="2" fontId="2" fillId="0" borderId="15" xfId="0" applyNumberFormat="1" applyFont="1" applyBorder="1" applyAlignment="1" applyProtection="1">
      <alignment horizontal="center"/>
      <protection hidden="1"/>
    </xf>
    <xf numFmtId="2" fontId="2" fillId="0" borderId="23" xfId="0" applyNumberFormat="1" applyFont="1" applyBorder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0" fontId="92" fillId="18" borderId="0" xfId="0" applyFont="1" applyFill="1" applyAlignment="1" applyProtection="1">
      <alignment horizontal="left"/>
      <protection hidden="1"/>
    </xf>
    <xf numFmtId="0" fontId="92" fillId="18" borderId="163" xfId="0" applyFont="1" applyFill="1" applyBorder="1" applyAlignment="1" applyProtection="1">
      <alignment horizontal="center"/>
      <protection hidden="1"/>
    </xf>
    <xf numFmtId="0" fontId="92" fillId="18" borderId="164" xfId="0" applyFont="1" applyFill="1" applyBorder="1" applyAlignment="1" applyProtection="1">
      <alignment horizontal="center"/>
      <protection hidden="1"/>
    </xf>
    <xf numFmtId="1" fontId="96" fillId="9" borderId="6" xfId="0" applyNumberFormat="1" applyFont="1" applyFill="1" applyBorder="1" applyAlignment="1" applyProtection="1">
      <alignment horizontal="center" vertical="center"/>
      <protection hidden="1"/>
    </xf>
    <xf numFmtId="2" fontId="2" fillId="16" borderId="13" xfId="0" applyNumberFormat="1" applyFont="1" applyFill="1" applyBorder="1" applyAlignment="1" applyProtection="1">
      <alignment vertical="center"/>
      <protection hidden="1"/>
    </xf>
    <xf numFmtId="1" fontId="21" fillId="18" borderId="0" xfId="0" applyNumberFormat="1" applyFont="1" applyFill="1" applyAlignment="1" applyProtection="1">
      <alignment horizontal="center" vertical="center"/>
      <protection hidden="1"/>
    </xf>
    <xf numFmtId="0" fontId="5" fillId="0" borderId="148" xfId="0" applyFont="1" applyBorder="1" applyAlignment="1" applyProtection="1">
      <alignment horizontal="left" vertical="center"/>
      <protection hidden="1"/>
    </xf>
    <xf numFmtId="0" fontId="0" fillId="0" borderId="148" xfId="0" applyBorder="1" applyProtection="1">
      <protection hidden="1"/>
    </xf>
    <xf numFmtId="2" fontId="5" fillId="6" borderId="14" xfId="0" applyNumberFormat="1" applyFont="1" applyFill="1" applyBorder="1" applyAlignment="1" applyProtection="1">
      <alignment horizontal="right" vertical="center"/>
      <protection hidden="1"/>
    </xf>
    <xf numFmtId="1" fontId="9" fillId="7" borderId="13" xfId="0" applyNumberFormat="1" applyFont="1" applyFill="1" applyBorder="1" applyAlignment="1" applyProtection="1">
      <alignment horizontal="center" vertical="center"/>
      <protection hidden="1"/>
    </xf>
    <xf numFmtId="165" fontId="9" fillId="7" borderId="13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2" fontId="94" fillId="0" borderId="58" xfId="0" applyNumberFormat="1" applyFont="1" applyBorder="1" applyAlignment="1" applyProtection="1">
      <alignment vertical="top"/>
      <protection hidden="1"/>
    </xf>
    <xf numFmtId="1" fontId="2" fillId="6" borderId="38" xfId="0" applyNumberFormat="1" applyFont="1" applyFill="1" applyBorder="1" applyAlignment="1" applyProtection="1">
      <alignment horizontal="center" vertical="center"/>
      <protection hidden="1"/>
    </xf>
    <xf numFmtId="1" fontId="9" fillId="0" borderId="0" xfId="0" applyNumberFormat="1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center"/>
      <protection hidden="1"/>
    </xf>
    <xf numFmtId="0" fontId="2" fillId="2" borderId="13" xfId="0" applyFont="1" applyFill="1" applyBorder="1" applyAlignment="1" applyProtection="1">
      <alignment vertical="center"/>
      <protection hidden="1"/>
    </xf>
    <xf numFmtId="0" fontId="5" fillId="9" borderId="124" xfId="0" applyFont="1" applyFill="1" applyBorder="1" applyAlignment="1" applyProtection="1">
      <alignment horizontal="center" wrapText="1"/>
      <protection hidden="1"/>
    </xf>
    <xf numFmtId="2" fontId="0" fillId="8" borderId="13" xfId="0" applyNumberFormat="1" applyFill="1" applyBorder="1" applyAlignment="1" applyProtection="1">
      <alignment horizontal="center"/>
      <protection hidden="1"/>
    </xf>
    <xf numFmtId="0" fontId="5" fillId="9" borderId="4" xfId="1" applyFill="1" applyBorder="1" applyAlignment="1" applyProtection="1">
      <alignment horizontal="center" vertical="center"/>
      <protection hidden="1"/>
    </xf>
    <xf numFmtId="0" fontId="5" fillId="9" borderId="7" xfId="1" applyFill="1" applyBorder="1" applyAlignment="1" applyProtection="1">
      <alignment horizontal="center" vertical="center"/>
      <protection hidden="1"/>
    </xf>
    <xf numFmtId="168" fontId="3" fillId="0" borderId="13" xfId="0" applyNumberFormat="1" applyFont="1" applyBorder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9" fillId="0" borderId="0" xfId="0" applyFont="1" applyAlignment="1">
      <alignment vertical="center"/>
    </xf>
    <xf numFmtId="0" fontId="5" fillId="6" borderId="31" xfId="0" applyFont="1" applyFill="1" applyBorder="1" applyAlignment="1" applyProtection="1">
      <alignment horizontal="right" vertical="center"/>
      <protection hidden="1"/>
    </xf>
    <xf numFmtId="0" fontId="2" fillId="2" borderId="11" xfId="0" applyFont="1" applyFill="1" applyBorder="1" applyAlignment="1" applyProtection="1">
      <alignment vertical="center"/>
      <protection hidden="1"/>
    </xf>
    <xf numFmtId="0" fontId="5" fillId="2" borderId="11" xfId="0" applyFont="1" applyFill="1" applyBorder="1" applyAlignment="1" applyProtection="1">
      <alignment vertical="center"/>
      <protection hidden="1"/>
    </xf>
    <xf numFmtId="0" fontId="2" fillId="2" borderId="11" xfId="0" applyFont="1" applyFill="1" applyBorder="1" applyAlignment="1" applyProtection="1">
      <alignment horizontal="center" vertical="center"/>
      <protection hidden="1"/>
    </xf>
    <xf numFmtId="2" fontId="0" fillId="8" borderId="13" xfId="0" applyNumberFormat="1" applyFill="1" applyBorder="1" applyProtection="1">
      <protection hidden="1"/>
    </xf>
    <xf numFmtId="0" fontId="5" fillId="2" borderId="28" xfId="0" applyFont="1" applyFill="1" applyBorder="1" applyProtection="1">
      <protection hidden="1"/>
    </xf>
    <xf numFmtId="0" fontId="5" fillId="2" borderId="28" xfId="0" applyFont="1" applyFill="1" applyBorder="1" applyAlignment="1" applyProtection="1">
      <alignment horizontal="right"/>
      <protection hidden="1"/>
    </xf>
    <xf numFmtId="2" fontId="2" fillId="9" borderId="18" xfId="0" applyNumberFormat="1" applyFont="1" applyFill="1" applyBorder="1" applyAlignment="1" applyProtection="1">
      <alignment horizontal="center" vertical="center"/>
      <protection hidden="1"/>
    </xf>
    <xf numFmtId="165" fontId="9" fillId="0" borderId="0" xfId="0" applyNumberFormat="1" applyFont="1" applyAlignment="1" applyProtection="1">
      <alignment horizontal="center"/>
      <protection hidden="1"/>
    </xf>
    <xf numFmtId="2" fontId="0" fillId="0" borderId="0" xfId="0" applyNumberFormat="1" applyAlignment="1" applyProtection="1">
      <alignment horizontal="center"/>
      <protection hidden="1"/>
    </xf>
    <xf numFmtId="0" fontId="2" fillId="8" borderId="13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left" vertical="center"/>
      <protection hidden="1"/>
    </xf>
    <xf numFmtId="1" fontId="2" fillId="9" borderId="18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5" fillId="2" borderId="28" xfId="0" applyFont="1" applyFill="1" applyBorder="1" applyAlignment="1" applyProtection="1">
      <alignment horizontal="center"/>
      <protection hidden="1"/>
    </xf>
    <xf numFmtId="2" fontId="2" fillId="8" borderId="13" xfId="0" applyNumberFormat="1" applyFont="1" applyFill="1" applyBorder="1" applyAlignment="1" applyProtection="1">
      <alignment horizont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/>
      <protection hidden="1"/>
    </xf>
    <xf numFmtId="164" fontId="5" fillId="0" borderId="23" xfId="0" applyNumberFormat="1" applyFont="1" applyBorder="1" applyProtection="1">
      <protection hidden="1"/>
    </xf>
    <xf numFmtId="0" fontId="3" fillId="0" borderId="0" xfId="0" applyFont="1" applyAlignment="1" applyProtection="1">
      <alignment horizontal="left"/>
      <protection hidden="1"/>
    </xf>
    <xf numFmtId="2" fontId="91" fillId="0" borderId="23" xfId="0" applyNumberFormat="1" applyFont="1" applyBorder="1" applyProtection="1">
      <protection hidden="1"/>
    </xf>
    <xf numFmtId="165" fontId="91" fillId="0" borderId="23" xfId="0" applyNumberFormat="1" applyFont="1" applyBorder="1" applyProtection="1">
      <protection hidden="1"/>
    </xf>
    <xf numFmtId="1" fontId="5" fillId="10" borderId="13" xfId="0" applyNumberFormat="1" applyFont="1" applyFill="1" applyBorder="1" applyAlignment="1" applyProtection="1">
      <alignment horizontal="center" vertical="center"/>
      <protection hidden="1"/>
    </xf>
    <xf numFmtId="1" fontId="2" fillId="4" borderId="22" xfId="0" applyNumberFormat="1" applyFont="1" applyFill="1" applyBorder="1" applyAlignment="1" applyProtection="1">
      <alignment horizontal="center" vertical="center"/>
      <protection hidden="1"/>
    </xf>
    <xf numFmtId="0" fontId="2" fillId="2" borderId="28" xfId="0" applyFont="1" applyFill="1" applyBorder="1" applyAlignment="1" applyProtection="1">
      <alignment horizontal="center" vertical="center"/>
      <protection hidden="1"/>
    </xf>
    <xf numFmtId="0" fontId="2" fillId="2" borderId="22" xfId="0" applyFont="1" applyFill="1" applyBorder="1" applyAlignment="1" applyProtection="1">
      <alignment horizontal="center" vertical="center"/>
      <protection hidden="1"/>
    </xf>
    <xf numFmtId="0" fontId="5" fillId="9" borderId="124" xfId="1" applyFill="1" applyBorder="1" applyAlignment="1" applyProtection="1">
      <alignment horizontal="center" wrapText="1"/>
      <protection hidden="1"/>
    </xf>
    <xf numFmtId="0" fontId="0" fillId="0" borderId="0" xfId="0" applyAlignment="1" applyProtection="1">
      <alignment horizontal="left"/>
      <protection hidden="1"/>
    </xf>
    <xf numFmtId="165" fontId="5" fillId="0" borderId="19" xfId="0" applyNumberFormat="1" applyFont="1" applyBorder="1" applyAlignment="1" applyProtection="1">
      <alignment horizontal="left" vertical="center"/>
      <protection hidden="1"/>
    </xf>
    <xf numFmtId="1" fontId="2" fillId="14" borderId="13" xfId="0" applyNumberFormat="1" applyFont="1" applyFill="1" applyBorder="1" applyAlignment="1" applyProtection="1">
      <alignment horizontal="center" vertical="center"/>
      <protection hidden="1"/>
    </xf>
    <xf numFmtId="1" fontId="20" fillId="25" borderId="165" xfId="1" applyNumberFormat="1" applyFont="1" applyFill="1" applyBorder="1" applyAlignment="1" applyProtection="1">
      <alignment horizontal="center" vertical="center" wrapText="1"/>
      <protection hidden="1"/>
    </xf>
    <xf numFmtId="0" fontId="18" fillId="11" borderId="11" xfId="1" applyFont="1" applyFill="1" applyBorder="1" applyAlignment="1" applyProtection="1">
      <alignment vertical="top"/>
      <protection hidden="1"/>
    </xf>
    <xf numFmtId="0" fontId="92" fillId="18" borderId="164" xfId="0" applyFont="1" applyFill="1" applyBorder="1" applyAlignment="1" applyProtection="1">
      <alignment horizontal="left"/>
      <protection hidden="1"/>
    </xf>
    <xf numFmtId="49" fontId="2" fillId="26" borderId="8" xfId="0" applyNumberFormat="1" applyFont="1" applyFill="1" applyBorder="1" applyAlignment="1" applyProtection="1">
      <alignment horizontal="center" vertical="center"/>
      <protection locked="0"/>
    </xf>
    <xf numFmtId="49" fontId="2" fillId="26" borderId="5" xfId="0" applyNumberFormat="1" applyFont="1" applyFill="1" applyBorder="1" applyAlignment="1" applyProtection="1">
      <alignment horizontal="center" vertical="center"/>
      <protection locked="0"/>
    </xf>
    <xf numFmtId="1" fontId="5" fillId="26" borderId="13" xfId="0" applyNumberFormat="1" applyFont="1" applyFill="1" applyBorder="1" applyAlignment="1" applyProtection="1">
      <alignment horizontal="center" vertical="center"/>
      <protection locked="0"/>
    </xf>
    <xf numFmtId="2" fontId="5" fillId="26" borderId="31" xfId="0" applyNumberFormat="1" applyFont="1" applyFill="1" applyBorder="1" applyAlignment="1" applyProtection="1">
      <alignment vertical="center"/>
      <protection locked="0"/>
    </xf>
    <xf numFmtId="2" fontId="5" fillId="26" borderId="32" xfId="0" applyNumberFormat="1" applyFont="1" applyFill="1" applyBorder="1" applyAlignment="1" applyProtection="1">
      <alignment vertical="center"/>
      <protection locked="0"/>
    </xf>
    <xf numFmtId="49" fontId="2" fillId="26" borderId="21" xfId="0" applyNumberFormat="1" applyFont="1" applyFill="1" applyBorder="1" applyAlignment="1" applyProtection="1">
      <alignment horizontal="center" vertical="center"/>
      <protection locked="0"/>
    </xf>
    <xf numFmtId="49" fontId="2" fillId="26" borderId="22" xfId="0" applyNumberFormat="1" applyFont="1" applyFill="1" applyBorder="1" applyAlignment="1" applyProtection="1">
      <alignment horizontal="center" vertical="center"/>
      <protection locked="0"/>
    </xf>
    <xf numFmtId="1" fontId="5" fillId="26" borderId="14" xfId="0" applyNumberFormat="1" applyFont="1" applyFill="1" applyBorder="1" applyAlignment="1" applyProtection="1">
      <alignment horizontal="center" vertical="center"/>
      <protection locked="0"/>
    </xf>
    <xf numFmtId="1" fontId="9" fillId="26" borderId="14" xfId="0" applyNumberFormat="1" applyFont="1" applyFill="1" applyBorder="1" applyAlignment="1" applyProtection="1">
      <alignment horizontal="center" vertical="center"/>
      <protection locked="0"/>
    </xf>
    <xf numFmtId="1" fontId="9" fillId="26" borderId="13" xfId="0" applyNumberFormat="1" applyFont="1" applyFill="1" applyBorder="1" applyAlignment="1" applyProtection="1">
      <alignment horizontal="center" vertical="center"/>
      <protection locked="0"/>
    </xf>
    <xf numFmtId="0" fontId="2" fillId="27" borderId="14" xfId="0" applyFont="1" applyFill="1" applyBorder="1" applyAlignment="1" applyProtection="1">
      <alignment horizontal="center" vertical="center"/>
      <protection hidden="1"/>
    </xf>
    <xf numFmtId="165" fontId="2" fillId="27" borderId="17" xfId="0" applyNumberFormat="1" applyFont="1" applyFill="1" applyBorder="1" applyAlignment="1" applyProtection="1">
      <alignment vertical="center"/>
      <protection hidden="1"/>
    </xf>
    <xf numFmtId="165" fontId="2" fillId="27" borderId="11" xfId="0" applyNumberFormat="1" applyFont="1" applyFill="1" applyBorder="1" applyAlignment="1" applyProtection="1">
      <alignment vertical="center"/>
      <protection hidden="1"/>
    </xf>
    <xf numFmtId="165" fontId="2" fillId="27" borderId="18" xfId="0" applyNumberFormat="1" applyFont="1" applyFill="1" applyBorder="1" applyAlignment="1" applyProtection="1">
      <alignment vertical="center"/>
      <protection hidden="1"/>
    </xf>
    <xf numFmtId="165" fontId="2" fillId="27" borderId="140" xfId="0" applyNumberFormat="1" applyFont="1" applyFill="1" applyBorder="1" applyAlignment="1" applyProtection="1">
      <alignment vertical="center"/>
      <protection hidden="1"/>
    </xf>
    <xf numFmtId="12" fontId="2" fillId="27" borderId="5" xfId="0" applyNumberFormat="1" applyFont="1" applyFill="1" applyBorder="1" applyAlignment="1" applyProtection="1">
      <alignment horizontal="center" vertical="center"/>
      <protection hidden="1"/>
    </xf>
    <xf numFmtId="0" fontId="11" fillId="26" borderId="13" xfId="1" applyFont="1" applyFill="1" applyBorder="1" applyAlignment="1" applyProtection="1">
      <alignment horizontal="center" vertical="center"/>
      <protection locked="0"/>
    </xf>
    <xf numFmtId="0" fontId="1" fillId="0" borderId="59" xfId="0" applyFont="1" applyBorder="1" applyAlignment="1" applyProtection="1">
      <alignment horizontal="right" vertical="center"/>
      <protection hidden="1"/>
    </xf>
    <xf numFmtId="0" fontId="19" fillId="28" borderId="28" xfId="0" applyFont="1" applyFill="1" applyBorder="1" applyAlignment="1" applyProtection="1">
      <alignment vertical="center"/>
      <protection hidden="1"/>
    </xf>
    <xf numFmtId="0" fontId="5" fillId="28" borderId="0" xfId="0" applyFont="1" applyFill="1" applyProtection="1">
      <protection hidden="1"/>
    </xf>
    <xf numFmtId="0" fontId="5" fillId="28" borderId="0" xfId="0" applyFont="1" applyFill="1" applyAlignment="1" applyProtection="1">
      <alignment horizontal="center"/>
      <protection hidden="1"/>
    </xf>
    <xf numFmtId="0" fontId="0" fillId="28" borderId="28" xfId="0" applyFill="1" applyBorder="1" applyProtection="1">
      <protection hidden="1"/>
    </xf>
    <xf numFmtId="0" fontId="50" fillId="28" borderId="43" xfId="0" applyFont="1" applyFill="1" applyBorder="1" applyProtection="1">
      <protection hidden="1"/>
    </xf>
    <xf numFmtId="0" fontId="50" fillId="28" borderId="38" xfId="0" applyFont="1" applyFill="1" applyBorder="1" applyProtection="1">
      <protection hidden="1"/>
    </xf>
    <xf numFmtId="0" fontId="50" fillId="28" borderId="7" xfId="0" applyFont="1" applyFill="1" applyBorder="1" applyProtection="1">
      <protection hidden="1"/>
    </xf>
    <xf numFmtId="0" fontId="19" fillId="28" borderId="43" xfId="0" applyFont="1" applyFill="1" applyBorder="1" applyAlignment="1" applyProtection="1">
      <alignment vertical="center"/>
      <protection hidden="1"/>
    </xf>
    <xf numFmtId="0" fontId="19" fillId="28" borderId="38" xfId="0" applyFont="1" applyFill="1" applyBorder="1" applyAlignment="1" applyProtection="1">
      <alignment vertical="center"/>
      <protection hidden="1"/>
    </xf>
    <xf numFmtId="0" fontId="19" fillId="28" borderId="16" xfId="0" applyFont="1" applyFill="1" applyBorder="1" applyAlignment="1" applyProtection="1">
      <alignment vertical="center"/>
      <protection hidden="1"/>
    </xf>
    <xf numFmtId="0" fontId="19" fillId="28" borderId="7" xfId="0" applyFont="1" applyFill="1" applyBorder="1" applyAlignment="1" applyProtection="1">
      <alignment vertical="center"/>
      <protection hidden="1"/>
    </xf>
    <xf numFmtId="0" fontId="19" fillId="28" borderId="22" xfId="0" applyFont="1" applyFill="1" applyBorder="1" applyAlignment="1" applyProtection="1">
      <alignment vertical="center"/>
      <protection hidden="1"/>
    </xf>
    <xf numFmtId="0" fontId="14" fillId="28" borderId="14" xfId="0" applyFont="1" applyFill="1" applyBorder="1" applyAlignment="1" applyProtection="1">
      <alignment horizontal="center" vertical="center"/>
      <protection hidden="1"/>
    </xf>
    <xf numFmtId="0" fontId="14" fillId="28" borderId="43" xfId="0" applyFont="1" applyFill="1" applyBorder="1" applyAlignment="1" applyProtection="1">
      <alignment horizontal="center" vertical="center"/>
      <protection hidden="1"/>
    </xf>
    <xf numFmtId="0" fontId="14" fillId="28" borderId="126" xfId="0" applyFont="1" applyFill="1" applyBorder="1" applyAlignment="1" applyProtection="1">
      <alignment horizontal="center" vertical="center"/>
      <protection hidden="1"/>
    </xf>
    <xf numFmtId="0" fontId="14" fillId="28" borderId="38" xfId="0" applyFont="1" applyFill="1" applyBorder="1" applyAlignment="1" applyProtection="1">
      <alignment horizontal="center" vertical="center"/>
      <protection hidden="1"/>
    </xf>
    <xf numFmtId="0" fontId="14" fillId="28" borderId="53" xfId="0" applyFont="1" applyFill="1" applyBorder="1" applyAlignment="1" applyProtection="1">
      <alignment horizontal="center" vertical="center"/>
      <protection hidden="1"/>
    </xf>
    <xf numFmtId="0" fontId="14" fillId="28" borderId="126" xfId="1" applyFont="1" applyFill="1" applyBorder="1" applyAlignment="1" applyProtection="1">
      <alignment horizontal="center" vertical="center"/>
      <protection hidden="1"/>
    </xf>
    <xf numFmtId="0" fontId="14" fillId="28" borderId="121" xfId="0" applyFont="1" applyFill="1" applyBorder="1" applyAlignment="1" applyProtection="1">
      <alignment horizontal="center" vertical="center"/>
      <protection hidden="1"/>
    </xf>
    <xf numFmtId="0" fontId="14" fillId="28" borderId="47" xfId="1" applyFont="1" applyFill="1" applyBorder="1" applyAlignment="1" applyProtection="1">
      <alignment horizontal="center" vertical="center"/>
      <protection hidden="1"/>
    </xf>
    <xf numFmtId="0" fontId="14" fillId="28" borderId="42" xfId="1" applyFont="1" applyFill="1" applyBorder="1" applyAlignment="1" applyProtection="1">
      <alignment horizontal="center" vertical="center"/>
      <protection hidden="1"/>
    </xf>
    <xf numFmtId="0" fontId="14" fillId="28" borderId="121" xfId="1" applyFont="1" applyFill="1" applyBorder="1" applyAlignment="1" applyProtection="1">
      <alignment horizontal="center" vertical="center"/>
      <protection hidden="1"/>
    </xf>
    <xf numFmtId="0" fontId="14" fillId="28" borderId="43" xfId="0" applyFont="1" applyFill="1" applyBorder="1" applyAlignment="1" applyProtection="1">
      <alignment horizontal="center"/>
      <protection hidden="1"/>
    </xf>
    <xf numFmtId="0" fontId="14" fillId="28" borderId="42" xfId="0" applyFont="1" applyFill="1" applyBorder="1" applyAlignment="1" applyProtection="1">
      <alignment horizontal="center" vertical="center"/>
      <protection hidden="1"/>
    </xf>
    <xf numFmtId="0" fontId="19" fillId="28" borderId="11" xfId="0" applyFont="1" applyFill="1" applyBorder="1" applyAlignment="1" applyProtection="1">
      <alignment vertical="center"/>
      <protection hidden="1"/>
    </xf>
    <xf numFmtId="0" fontId="19" fillId="28" borderId="5" xfId="0" applyFont="1" applyFill="1" applyBorder="1" applyAlignment="1" applyProtection="1">
      <alignment horizontal="right" vertical="center"/>
      <protection hidden="1"/>
    </xf>
    <xf numFmtId="0" fontId="19" fillId="28" borderId="5" xfId="0" applyFont="1" applyFill="1" applyBorder="1" applyAlignment="1" applyProtection="1">
      <alignment horizontal="center" vertical="center"/>
      <protection hidden="1"/>
    </xf>
    <xf numFmtId="0" fontId="19" fillId="28" borderId="14" xfId="0" applyFont="1" applyFill="1" applyBorder="1" applyAlignment="1" applyProtection="1">
      <alignment horizontal="center" vertical="center"/>
      <protection hidden="1"/>
    </xf>
    <xf numFmtId="0" fontId="19" fillId="28" borderId="7" xfId="0" applyFont="1" applyFill="1" applyBorder="1" applyAlignment="1" applyProtection="1">
      <alignment horizontal="left" vertical="center"/>
      <protection hidden="1"/>
    </xf>
    <xf numFmtId="0" fontId="19" fillId="28" borderId="11" xfId="0" applyFont="1" applyFill="1" applyBorder="1" applyAlignment="1" applyProtection="1">
      <alignment horizontal="center" vertical="center"/>
      <protection hidden="1"/>
    </xf>
    <xf numFmtId="0" fontId="1" fillId="9" borderId="13" xfId="0" applyFont="1" applyFill="1" applyBorder="1" applyAlignment="1" applyProtection="1">
      <alignment horizontal="center" vertical="center"/>
      <protection hidden="1"/>
    </xf>
    <xf numFmtId="0" fontId="1" fillId="9" borderId="38" xfId="1" applyFont="1" applyFill="1" applyBorder="1" applyAlignment="1" applyProtection="1">
      <alignment horizontal="center" vertical="center" wrapText="1"/>
      <protection hidden="1"/>
    </xf>
    <xf numFmtId="0" fontId="1" fillId="0" borderId="137" xfId="0" applyFont="1" applyBorder="1" applyProtection="1">
      <protection hidden="1"/>
    </xf>
    <xf numFmtId="0" fontId="0" fillId="0" borderId="125" xfId="0" applyBorder="1"/>
    <xf numFmtId="0" fontId="0" fillId="0" borderId="141" xfId="0" applyBorder="1"/>
    <xf numFmtId="0" fontId="9" fillId="9" borderId="168" xfId="1" applyFont="1" applyFill="1" applyBorder="1" applyAlignment="1" applyProtection="1">
      <alignment horizontal="left" vertical="top" wrapText="1"/>
      <protection hidden="1"/>
    </xf>
    <xf numFmtId="0" fontId="9" fillId="9" borderId="138" xfId="1" applyFont="1" applyFill="1" applyBorder="1" applyAlignment="1" applyProtection="1">
      <alignment horizontal="justify" vertical="center"/>
      <protection hidden="1"/>
    </xf>
    <xf numFmtId="0" fontId="14" fillId="28" borderId="169" xfId="0" applyFont="1" applyFill="1" applyBorder="1" applyAlignment="1" applyProtection="1">
      <alignment horizontal="center" vertical="center"/>
      <protection hidden="1"/>
    </xf>
    <xf numFmtId="0" fontId="9" fillId="9" borderId="14" xfId="16" applyFont="1" applyFill="1" applyBorder="1" applyAlignment="1">
      <alignment vertical="center" wrapText="1"/>
    </xf>
    <xf numFmtId="0" fontId="9" fillId="9" borderId="14" xfId="16" applyFont="1" applyFill="1" applyBorder="1" applyAlignment="1">
      <alignment horizontal="center" vertical="center"/>
    </xf>
    <xf numFmtId="0" fontId="9" fillId="9" borderId="121" xfId="16" applyFont="1" applyFill="1" applyBorder="1" applyAlignment="1">
      <alignment horizontal="center" vertical="center"/>
    </xf>
    <xf numFmtId="0" fontId="5" fillId="9" borderId="170" xfId="1" applyFill="1" applyBorder="1" applyAlignment="1" applyProtection="1">
      <alignment vertical="center" wrapText="1"/>
      <protection hidden="1"/>
    </xf>
    <xf numFmtId="0" fontId="9" fillId="9" borderId="170" xfId="1" applyFont="1" applyFill="1" applyBorder="1" applyAlignment="1" applyProtection="1">
      <alignment horizontal="center" vertical="center" wrapText="1"/>
      <protection hidden="1"/>
    </xf>
    <xf numFmtId="0" fontId="9" fillId="9" borderId="170" xfId="1" applyFont="1" applyFill="1" applyBorder="1" applyAlignment="1" applyProtection="1">
      <alignment horizontal="center" vertical="center"/>
      <protection hidden="1"/>
    </xf>
    <xf numFmtId="1" fontId="9" fillId="9" borderId="16" xfId="1" quotePrefix="1" applyNumberFormat="1" applyFont="1" applyFill="1" applyBorder="1" applyAlignment="1" applyProtection="1">
      <alignment vertical="top"/>
      <protection hidden="1"/>
    </xf>
    <xf numFmtId="0" fontId="0" fillId="0" borderId="19" xfId="0" applyBorder="1" applyAlignment="1" applyProtection="1">
      <alignment horizontal="right" vertical="center"/>
      <protection hidden="1"/>
    </xf>
    <xf numFmtId="0" fontId="1" fillId="0" borderId="0" xfId="0" applyFont="1" applyAlignment="1" applyProtection="1">
      <alignment horizontal="right" vertical="center"/>
      <protection hidden="1"/>
    </xf>
    <xf numFmtId="165" fontId="9" fillId="9" borderId="39" xfId="16" applyNumberFormat="1" applyFont="1" applyFill="1" applyBorder="1" applyAlignment="1" applyProtection="1">
      <alignment horizontal="right" vertical="center"/>
      <protection hidden="1"/>
    </xf>
    <xf numFmtId="165" fontId="9" fillId="9" borderId="138" xfId="16" applyNumberFormat="1" applyFont="1" applyFill="1" applyBorder="1" applyAlignment="1" applyProtection="1">
      <alignment horizontal="left" vertical="center"/>
      <protection hidden="1"/>
    </xf>
    <xf numFmtId="0" fontId="1" fillId="9" borderId="125" xfId="20" applyFill="1" applyBorder="1" applyAlignment="1" applyProtection="1">
      <alignment horizontal="center" vertical="center"/>
      <protection hidden="1"/>
    </xf>
    <xf numFmtId="0" fontId="1" fillId="0" borderId="19" xfId="0" applyFont="1" applyBorder="1" applyAlignment="1" applyProtection="1">
      <alignment horizontal="right" vertical="center"/>
      <protection hidden="1"/>
    </xf>
    <xf numFmtId="0" fontId="9" fillId="0" borderId="19" xfId="0" applyFont="1" applyBorder="1" applyAlignment="1" applyProtection="1">
      <alignment horizontal="left" vertical="center"/>
      <protection hidden="1"/>
    </xf>
    <xf numFmtId="0" fontId="1" fillId="0" borderId="13" xfId="0" applyFont="1" applyBorder="1" applyAlignment="1" applyProtection="1">
      <alignment horizontal="right" vertical="center"/>
      <protection hidden="1"/>
    </xf>
    <xf numFmtId="0" fontId="1" fillId="0" borderId="60" xfId="0" applyFont="1" applyBorder="1" applyAlignment="1" applyProtection="1">
      <alignment horizontal="right" vertical="center"/>
      <protection hidden="1"/>
    </xf>
    <xf numFmtId="0" fontId="1" fillId="0" borderId="52" xfId="0" applyFont="1" applyBorder="1" applyAlignment="1" applyProtection="1">
      <alignment horizontal="right"/>
      <protection hidden="1"/>
    </xf>
    <xf numFmtId="0" fontId="1" fillId="0" borderId="60" xfId="0" applyFont="1" applyBorder="1" applyAlignment="1" applyProtection="1">
      <alignment horizontal="right"/>
      <protection hidden="1"/>
    </xf>
    <xf numFmtId="0" fontId="9" fillId="0" borderId="6" xfId="0" applyFont="1" applyBorder="1" applyAlignment="1" applyProtection="1">
      <alignment horizontal="right" vertical="center"/>
      <protection hidden="1"/>
    </xf>
    <xf numFmtId="0" fontId="3" fillId="0" borderId="0" xfId="0" applyFont="1" applyAlignment="1" applyProtection="1">
      <alignment horizontal="center" vertical="top"/>
      <protection hidden="1"/>
    </xf>
    <xf numFmtId="0" fontId="5" fillId="6" borderId="13" xfId="0" applyFont="1" applyFill="1" applyBorder="1" applyAlignment="1" applyProtection="1">
      <alignment horizontal="left" vertical="center"/>
      <protection hidden="1"/>
    </xf>
    <xf numFmtId="0" fontId="1" fillId="9" borderId="14" xfId="16" applyFill="1" applyBorder="1" applyAlignment="1" applyProtection="1">
      <alignment horizontal="center" vertical="center"/>
      <protection hidden="1"/>
    </xf>
    <xf numFmtId="165" fontId="2" fillId="29" borderId="166" xfId="16" applyNumberFormat="1" applyFont="1" applyFill="1" applyBorder="1" applyAlignment="1" applyProtection="1">
      <alignment vertical="center"/>
      <protection hidden="1"/>
    </xf>
    <xf numFmtId="12" fontId="3" fillId="29" borderId="167" xfId="16" applyNumberFormat="1" applyFont="1" applyFill="1" applyBorder="1" applyAlignment="1" applyProtection="1">
      <alignment horizontal="center" vertical="center"/>
      <protection hidden="1"/>
    </xf>
    <xf numFmtId="0" fontId="0" fillId="0" borderId="130" xfId="0" applyBorder="1" applyProtection="1">
      <protection hidden="1"/>
    </xf>
    <xf numFmtId="0" fontId="1" fillId="9" borderId="4" xfId="16" applyFill="1" applyBorder="1" applyAlignment="1" applyProtection="1">
      <alignment horizontal="center" vertical="center"/>
      <protection hidden="1"/>
    </xf>
    <xf numFmtId="0" fontId="1" fillId="9" borderId="127" xfId="16" applyFill="1" applyBorder="1" applyAlignment="1" applyProtection="1">
      <alignment horizontal="center" vertical="center"/>
      <protection hidden="1"/>
    </xf>
    <xf numFmtId="0" fontId="1" fillId="9" borderId="53" xfId="19" applyFill="1" applyBorder="1" applyAlignment="1" applyProtection="1">
      <alignment horizontal="center" vertical="center"/>
      <protection hidden="1"/>
    </xf>
    <xf numFmtId="0" fontId="1" fillId="9" borderId="13" xfId="16" applyFill="1" applyBorder="1" applyAlignment="1" applyProtection="1">
      <alignment horizontal="center" vertical="center"/>
      <protection hidden="1"/>
    </xf>
    <xf numFmtId="2" fontId="1" fillId="6" borderId="13" xfId="16" applyNumberFormat="1" applyFill="1" applyBorder="1" applyAlignment="1" applyProtection="1">
      <alignment vertical="center"/>
      <protection hidden="1"/>
    </xf>
    <xf numFmtId="0" fontId="1" fillId="2" borderId="31" xfId="0" applyFont="1" applyFill="1" applyBorder="1" applyAlignment="1" applyProtection="1">
      <alignment vertical="center"/>
      <protection hidden="1"/>
    </xf>
    <xf numFmtId="0" fontId="1" fillId="0" borderId="0" xfId="16" applyProtection="1">
      <protection hidden="1"/>
    </xf>
    <xf numFmtId="166" fontId="1" fillId="6" borderId="20" xfId="16" applyNumberFormat="1" applyFill="1" applyBorder="1" applyAlignment="1" applyProtection="1">
      <alignment vertical="center"/>
      <protection hidden="1"/>
    </xf>
    <xf numFmtId="164" fontId="1" fillId="6" borderId="8" xfId="16" applyNumberFormat="1" applyFill="1" applyBorder="1" applyAlignment="1" applyProtection="1">
      <alignment vertical="center"/>
      <protection hidden="1"/>
    </xf>
    <xf numFmtId="0" fontId="1" fillId="0" borderId="0" xfId="16" applyAlignment="1" applyProtection="1">
      <alignment horizontal="left" vertical="center"/>
      <protection hidden="1"/>
    </xf>
    <xf numFmtId="0" fontId="1" fillId="0" borderId="0" xfId="16"/>
    <xf numFmtId="0" fontId="3" fillId="0" borderId="0" xfId="16" applyFont="1" applyProtection="1">
      <protection hidden="1"/>
    </xf>
    <xf numFmtId="0" fontId="98" fillId="31" borderId="58" xfId="16" applyFont="1" applyFill="1" applyBorder="1" applyAlignment="1" applyProtection="1">
      <alignment horizontal="left" vertical="center"/>
      <protection hidden="1"/>
    </xf>
    <xf numFmtId="0" fontId="92" fillId="31" borderId="0" xfId="16" applyFont="1" applyFill="1" applyProtection="1">
      <protection locked="0" hidden="1"/>
    </xf>
    <xf numFmtId="2" fontId="9" fillId="30" borderId="0" xfId="16" applyNumberFormat="1" applyFont="1" applyFill="1" applyAlignment="1" applyProtection="1">
      <alignment horizontal="center" vertical="center"/>
      <protection hidden="1"/>
    </xf>
    <xf numFmtId="0" fontId="1" fillId="0" borderId="0" xfId="16" applyAlignment="1">
      <alignment horizontal="center"/>
    </xf>
    <xf numFmtId="0" fontId="100" fillId="0" borderId="0" xfId="16" applyFont="1" applyAlignment="1">
      <alignment horizontal="left"/>
    </xf>
    <xf numFmtId="0" fontId="101" fillId="0" borderId="0" xfId="16" applyFont="1"/>
    <xf numFmtId="0" fontId="18" fillId="0" borderId="0" xfId="16" applyFont="1"/>
    <xf numFmtId="0" fontId="13" fillId="0" borderId="0" xfId="16" applyFont="1"/>
    <xf numFmtId="0" fontId="1" fillId="0" borderId="0" xfId="16" applyAlignment="1">
      <alignment horizontal="right"/>
    </xf>
    <xf numFmtId="0" fontId="1" fillId="0" borderId="0" xfId="16" applyAlignment="1" applyProtection="1">
      <alignment horizontal="center"/>
      <protection hidden="1"/>
    </xf>
    <xf numFmtId="0" fontId="3" fillId="0" borderId="0" xfId="16" applyFont="1" applyAlignment="1" applyProtection="1">
      <alignment horizontal="center"/>
      <protection hidden="1"/>
    </xf>
    <xf numFmtId="0" fontId="1" fillId="9" borderId="40" xfId="16" applyFill="1" applyBorder="1" applyAlignment="1" applyProtection="1">
      <alignment horizontal="center" vertical="center"/>
      <protection hidden="1"/>
    </xf>
    <xf numFmtId="0" fontId="9" fillId="9" borderId="166" xfId="16" applyFont="1" applyFill="1" applyBorder="1" applyAlignment="1" applyProtection="1">
      <alignment horizontal="center" vertical="center"/>
      <protection hidden="1"/>
    </xf>
    <xf numFmtId="0" fontId="3" fillId="9" borderId="166" xfId="16" applyFont="1" applyFill="1" applyBorder="1" applyAlignment="1" applyProtection="1">
      <alignment horizontal="center" vertical="center"/>
      <protection hidden="1"/>
    </xf>
    <xf numFmtId="165" fontId="9" fillId="0" borderId="0" xfId="16" applyNumberFormat="1" applyFont="1" applyAlignment="1" applyProtection="1">
      <alignment horizontal="center"/>
      <protection hidden="1"/>
    </xf>
    <xf numFmtId="165" fontId="9" fillId="0" borderId="0" xfId="16" applyNumberFormat="1" applyFont="1" applyProtection="1">
      <protection hidden="1"/>
    </xf>
    <xf numFmtId="168" fontId="9" fillId="0" borderId="0" xfId="16" applyNumberFormat="1" applyFont="1" applyProtection="1">
      <protection hidden="1"/>
    </xf>
    <xf numFmtId="0" fontId="1" fillId="0" borderId="0" xfId="16" quotePrefix="1" applyAlignment="1" applyProtection="1">
      <alignment horizontal="right"/>
      <protection hidden="1"/>
    </xf>
    <xf numFmtId="0" fontId="1" fillId="9" borderId="28" xfId="16" applyFill="1" applyBorder="1" applyAlignment="1" applyProtection="1">
      <alignment horizontal="center" vertical="center"/>
      <protection hidden="1"/>
    </xf>
    <xf numFmtId="0" fontId="1" fillId="0" borderId="31" xfId="16" applyBorder="1" applyAlignment="1" applyProtection="1">
      <alignment horizontal="right"/>
      <protection hidden="1"/>
    </xf>
    <xf numFmtId="0" fontId="102" fillId="0" borderId="0" xfId="16" applyFont="1" applyAlignment="1" applyProtection="1">
      <alignment vertical="center"/>
      <protection hidden="1"/>
    </xf>
    <xf numFmtId="0" fontId="1" fillId="0" borderId="28" xfId="16" applyBorder="1" applyAlignment="1" applyProtection="1">
      <alignment horizontal="center"/>
      <protection hidden="1"/>
    </xf>
    <xf numFmtId="0" fontId="102" fillId="0" borderId="0" xfId="16" applyFont="1" applyProtection="1">
      <protection hidden="1"/>
    </xf>
    <xf numFmtId="165" fontId="9" fillId="0" borderId="0" xfId="16" applyNumberFormat="1" applyFont="1" applyAlignment="1" applyProtection="1">
      <alignment horizontal="center" vertical="top"/>
      <protection hidden="1"/>
    </xf>
    <xf numFmtId="165" fontId="9" fillId="0" borderId="0" xfId="16" applyNumberFormat="1" applyFont="1" applyAlignment="1" applyProtection="1">
      <alignment vertical="top"/>
      <protection hidden="1"/>
    </xf>
    <xf numFmtId="0" fontId="99" fillId="32" borderId="176" xfId="16" applyFont="1" applyFill="1" applyBorder="1" applyAlignment="1" applyProtection="1">
      <alignment horizontal="center" vertical="center"/>
      <protection locked="0"/>
    </xf>
    <xf numFmtId="0" fontId="102" fillId="0" borderId="0" xfId="16" applyFont="1"/>
    <xf numFmtId="0" fontId="99" fillId="33" borderId="176" xfId="16" applyFont="1" applyFill="1" applyBorder="1" applyAlignment="1" applyProtection="1">
      <alignment horizontal="center" vertical="center"/>
      <protection locked="0"/>
    </xf>
    <xf numFmtId="0" fontId="99" fillId="34" borderId="176" xfId="16" applyFont="1" applyFill="1" applyBorder="1" applyAlignment="1" applyProtection="1">
      <alignment horizontal="center" vertical="center"/>
      <protection locked="0"/>
    </xf>
    <xf numFmtId="0" fontId="99" fillId="35" borderId="176" xfId="16" applyFont="1" applyFill="1" applyBorder="1" applyAlignment="1" applyProtection="1">
      <alignment horizontal="center" vertical="center"/>
      <protection locked="0"/>
    </xf>
    <xf numFmtId="0" fontId="99" fillId="24" borderId="176" xfId="16" applyFont="1" applyFill="1" applyBorder="1" applyAlignment="1" applyProtection="1">
      <alignment horizontal="center" vertical="center"/>
      <protection locked="0"/>
    </xf>
    <xf numFmtId="0" fontId="1" fillId="0" borderId="0" xfId="16" applyAlignment="1">
      <alignment horizontal="right" vertical="center"/>
    </xf>
    <xf numFmtId="165" fontId="1" fillId="9" borderId="28" xfId="16" applyNumberFormat="1" applyFill="1" applyBorder="1" applyAlignment="1" applyProtection="1">
      <alignment horizontal="center" vertical="center"/>
      <protection hidden="1"/>
    </xf>
    <xf numFmtId="165" fontId="3" fillId="36" borderId="0" xfId="16" applyNumberFormat="1" applyFont="1" applyFill="1" applyAlignment="1" applyProtection="1">
      <alignment horizontal="center"/>
      <protection hidden="1"/>
    </xf>
    <xf numFmtId="0" fontId="1" fillId="37" borderId="0" xfId="16" applyFill="1" applyProtection="1">
      <protection hidden="1"/>
    </xf>
    <xf numFmtId="165" fontId="3" fillId="38" borderId="0" xfId="16" applyNumberFormat="1" applyFont="1" applyFill="1" applyAlignment="1" applyProtection="1">
      <alignment horizontal="center"/>
      <protection hidden="1"/>
    </xf>
    <xf numFmtId="0" fontId="9" fillId="37" borderId="0" xfId="16" applyFont="1" applyFill="1" applyProtection="1">
      <protection hidden="1"/>
    </xf>
    <xf numFmtId="165" fontId="1" fillId="0" borderId="0" xfId="16" applyNumberFormat="1" applyProtection="1">
      <protection hidden="1"/>
    </xf>
    <xf numFmtId="1" fontId="9" fillId="0" borderId="0" xfId="16" applyNumberFormat="1" applyFont="1" applyProtection="1">
      <protection hidden="1"/>
    </xf>
    <xf numFmtId="165" fontId="3" fillId="37" borderId="0" xfId="16" applyNumberFormat="1" applyFont="1" applyFill="1" applyProtection="1">
      <protection hidden="1"/>
    </xf>
    <xf numFmtId="165" fontId="9" fillId="0" borderId="0" xfId="16" applyNumberFormat="1" applyFont="1" applyAlignment="1" applyProtection="1">
      <alignment horizontal="right"/>
      <protection hidden="1"/>
    </xf>
    <xf numFmtId="164" fontId="3" fillId="37" borderId="0" xfId="16" applyNumberFormat="1" applyFont="1" applyFill="1" applyProtection="1">
      <protection hidden="1"/>
    </xf>
    <xf numFmtId="165" fontId="91" fillId="0" borderId="0" xfId="16" applyNumberFormat="1" applyFont="1" applyProtection="1">
      <protection hidden="1"/>
    </xf>
    <xf numFmtId="0" fontId="91" fillId="0" borderId="0" xfId="16" applyFont="1"/>
    <xf numFmtId="0" fontId="91" fillId="0" borderId="0" xfId="16" applyFont="1" applyProtection="1">
      <protection hidden="1"/>
    </xf>
    <xf numFmtId="0" fontId="3" fillId="37" borderId="0" xfId="16" applyFont="1" applyFill="1" applyAlignment="1" applyProtection="1">
      <alignment horizontal="center"/>
      <protection hidden="1"/>
    </xf>
    <xf numFmtId="0" fontId="1" fillId="0" borderId="0" xfId="16" quotePrefix="1" applyProtection="1">
      <protection hidden="1"/>
    </xf>
    <xf numFmtId="0" fontId="3" fillId="37" borderId="0" xfId="16" applyFont="1" applyFill="1" applyProtection="1">
      <protection hidden="1"/>
    </xf>
    <xf numFmtId="0" fontId="3" fillId="0" borderId="0" xfId="16" applyFont="1" applyAlignment="1" applyProtection="1">
      <alignment horizontal="right" vertical="center"/>
      <protection hidden="1"/>
    </xf>
    <xf numFmtId="0" fontId="9" fillId="37" borderId="0" xfId="16" applyFont="1" applyFill="1" applyAlignment="1" applyProtection="1">
      <alignment vertical="center"/>
      <protection hidden="1"/>
    </xf>
    <xf numFmtId="0" fontId="9" fillId="0" borderId="0" xfId="16" applyFont="1" applyAlignment="1" applyProtection="1">
      <alignment vertical="center"/>
      <protection hidden="1"/>
    </xf>
    <xf numFmtId="0" fontId="3" fillId="0" borderId="0" xfId="16" applyFont="1" applyAlignment="1" applyProtection="1">
      <alignment vertical="center"/>
      <protection hidden="1"/>
    </xf>
    <xf numFmtId="0" fontId="93" fillId="0" borderId="0" xfId="16" applyFont="1" applyProtection="1">
      <protection hidden="1"/>
    </xf>
    <xf numFmtId="0" fontId="1" fillId="0" borderId="178" xfId="16" applyBorder="1" applyProtection="1">
      <protection hidden="1"/>
    </xf>
    <xf numFmtId="0" fontId="9" fillId="37" borderId="178" xfId="16" applyFont="1" applyFill="1" applyBorder="1" applyAlignment="1" applyProtection="1">
      <alignment vertical="center"/>
      <protection hidden="1"/>
    </xf>
    <xf numFmtId="0" fontId="9" fillId="0" borderId="178" xfId="16" applyFont="1" applyBorder="1" applyAlignment="1" applyProtection="1">
      <alignment vertical="center"/>
      <protection hidden="1"/>
    </xf>
    <xf numFmtId="0" fontId="1" fillId="0" borderId="178" xfId="16" applyBorder="1"/>
    <xf numFmtId="0" fontId="3" fillId="0" borderId="179" xfId="16" applyFont="1" applyBorder="1" applyAlignment="1" applyProtection="1">
      <alignment vertical="center"/>
      <protection hidden="1"/>
    </xf>
    <xf numFmtId="0" fontId="9" fillId="37" borderId="179" xfId="16" applyFont="1" applyFill="1" applyBorder="1" applyAlignment="1" applyProtection="1">
      <alignment vertical="center"/>
      <protection hidden="1"/>
    </xf>
    <xf numFmtId="0" fontId="9" fillId="0" borderId="179" xfId="16" applyFont="1" applyBorder="1" applyAlignment="1" applyProtection="1">
      <alignment vertical="center"/>
      <protection hidden="1"/>
    </xf>
    <xf numFmtId="0" fontId="1" fillId="0" borderId="180" xfId="16" applyBorder="1" applyProtection="1">
      <protection hidden="1"/>
    </xf>
    <xf numFmtId="0" fontId="1" fillId="0" borderId="181" xfId="16" applyBorder="1" applyProtection="1">
      <protection hidden="1"/>
    </xf>
    <xf numFmtId="0" fontId="1" fillId="9" borderId="141" xfId="16" applyFill="1" applyBorder="1" applyAlignment="1" applyProtection="1">
      <alignment horizontal="center" vertical="center"/>
      <protection hidden="1"/>
    </xf>
    <xf numFmtId="0" fontId="9" fillId="37" borderId="0" xfId="16" applyFont="1" applyFill="1" applyAlignment="1" applyProtection="1">
      <alignment horizontal="left" vertical="center"/>
      <protection hidden="1"/>
    </xf>
    <xf numFmtId="0" fontId="105" fillId="0" borderId="0" xfId="16" applyFont="1" applyProtection="1">
      <protection hidden="1"/>
    </xf>
    <xf numFmtId="0" fontId="1" fillId="28" borderId="174" xfId="16" applyFill="1" applyBorder="1"/>
    <xf numFmtId="0" fontId="1" fillId="28" borderId="174" xfId="16" applyFill="1" applyBorder="1" applyAlignment="1">
      <alignment horizontal="center"/>
    </xf>
    <xf numFmtId="0" fontId="1" fillId="28" borderId="0" xfId="16" applyFill="1"/>
    <xf numFmtId="0" fontId="1" fillId="28" borderId="177" xfId="16" applyFill="1" applyBorder="1"/>
    <xf numFmtId="0" fontId="1" fillId="28" borderId="177" xfId="16" applyFill="1" applyBorder="1" applyAlignment="1">
      <alignment horizontal="center"/>
    </xf>
    <xf numFmtId="0" fontId="1" fillId="0" borderId="0" xfId="0" applyFont="1" applyAlignment="1" applyProtection="1">
      <alignment vertical="center"/>
      <protection hidden="1"/>
    </xf>
    <xf numFmtId="0" fontId="1" fillId="0" borderId="182" xfId="0" applyFont="1" applyBorder="1" applyAlignment="1" applyProtection="1">
      <alignment horizontal="right"/>
      <protection hidden="1"/>
    </xf>
    <xf numFmtId="0" fontId="0" fillId="0" borderId="183" xfId="0" applyBorder="1" applyProtection="1">
      <protection hidden="1"/>
    </xf>
    <xf numFmtId="0" fontId="106" fillId="28" borderId="0" xfId="0" applyFont="1" applyFill="1" applyProtection="1">
      <protection hidden="1"/>
    </xf>
    <xf numFmtId="0" fontId="0" fillId="0" borderId="183" xfId="0" applyBorder="1" applyAlignment="1" applyProtection="1">
      <alignment horizontal="left"/>
      <protection hidden="1"/>
    </xf>
    <xf numFmtId="12" fontId="6" fillId="29" borderId="167" xfId="16" applyNumberFormat="1" applyFont="1" applyFill="1" applyBorder="1" applyAlignment="1" applyProtection="1">
      <alignment horizontal="center" vertical="center"/>
      <protection hidden="1"/>
    </xf>
    <xf numFmtId="1" fontId="3" fillId="37" borderId="0" xfId="16" applyNumberFormat="1" applyFont="1" applyFill="1" applyProtection="1">
      <protection hidden="1"/>
    </xf>
    <xf numFmtId="0" fontId="92" fillId="28" borderId="0" xfId="0" applyFont="1" applyFill="1" applyProtection="1">
      <protection hidden="1"/>
    </xf>
    <xf numFmtId="165" fontId="1" fillId="6" borderId="13" xfId="16" applyNumberFormat="1" applyFill="1" applyBorder="1" applyProtection="1">
      <protection hidden="1"/>
    </xf>
    <xf numFmtId="1" fontId="1" fillId="6" borderId="13" xfId="16" applyNumberFormat="1" applyFill="1" applyBorder="1" applyAlignment="1" applyProtection="1">
      <alignment horizontal="right"/>
      <protection hidden="1"/>
    </xf>
    <xf numFmtId="172" fontId="1" fillId="6" borderId="13" xfId="16" applyNumberFormat="1" applyFill="1" applyBorder="1" applyAlignment="1" applyProtection="1">
      <alignment horizontal="right"/>
      <protection hidden="1"/>
    </xf>
    <xf numFmtId="1" fontId="1" fillId="6" borderId="13" xfId="16" applyNumberFormat="1" applyFill="1" applyBorder="1" applyAlignment="1" applyProtection="1">
      <alignment horizontal="center"/>
      <protection hidden="1"/>
    </xf>
    <xf numFmtId="0" fontId="1" fillId="0" borderId="22" xfId="16" applyBorder="1" applyAlignment="1" applyProtection="1">
      <alignment horizontal="left"/>
      <protection hidden="1"/>
    </xf>
    <xf numFmtId="0" fontId="3" fillId="40" borderId="0" xfId="0" applyFont="1" applyFill="1" applyAlignment="1" applyProtection="1">
      <alignment horizontal="center"/>
      <protection hidden="1"/>
    </xf>
    <xf numFmtId="0" fontId="92" fillId="28" borderId="0" xfId="0" applyFont="1" applyFill="1" applyAlignment="1" applyProtection="1">
      <alignment horizontal="right"/>
      <protection hidden="1"/>
    </xf>
    <xf numFmtId="0" fontId="106" fillId="28" borderId="0" xfId="0" applyFont="1" applyFill="1" applyAlignment="1" applyProtection="1">
      <alignment horizontal="center"/>
      <protection hidden="1"/>
    </xf>
    <xf numFmtId="165" fontId="9" fillId="29" borderId="8" xfId="16" applyNumberFormat="1" applyFont="1" applyFill="1" applyBorder="1" applyAlignment="1" applyProtection="1">
      <alignment vertical="center"/>
      <protection hidden="1"/>
    </xf>
    <xf numFmtId="2" fontId="9" fillId="6" borderId="11" xfId="16" applyNumberFormat="1" applyFont="1" applyFill="1" applyBorder="1" applyAlignment="1" applyProtection="1">
      <alignment vertical="center"/>
      <protection hidden="1"/>
    </xf>
    <xf numFmtId="2" fontId="9" fillId="26" borderId="8" xfId="16" applyNumberFormat="1" applyFont="1" applyFill="1" applyBorder="1" applyAlignment="1" applyProtection="1">
      <alignment horizontal="center" vertical="center"/>
      <protection locked="0"/>
    </xf>
    <xf numFmtId="2" fontId="9" fillId="6" borderId="20" xfId="16" applyNumberFormat="1" applyFont="1" applyFill="1" applyBorder="1" applyAlignment="1" applyProtection="1">
      <alignment vertical="center"/>
      <protection hidden="1"/>
    </xf>
    <xf numFmtId="4" fontId="9" fillId="6" borderId="5" xfId="16" applyNumberFormat="1" applyFont="1" applyFill="1" applyBorder="1" applyAlignment="1" applyProtection="1">
      <alignment vertical="center"/>
      <protection hidden="1"/>
    </xf>
    <xf numFmtId="166" fontId="9" fillId="6" borderId="20" xfId="16" applyNumberFormat="1" applyFont="1" applyFill="1" applyBorder="1" applyAlignment="1" applyProtection="1">
      <alignment vertical="center"/>
      <protection hidden="1"/>
    </xf>
    <xf numFmtId="49" fontId="1" fillId="9" borderId="51" xfId="16" applyNumberFormat="1" applyFill="1" applyBorder="1" applyAlignment="1">
      <alignment horizontal="center" vertical="center"/>
    </xf>
    <xf numFmtId="0" fontId="9" fillId="9" borderId="8" xfId="16" applyFont="1" applyFill="1" applyBorder="1" applyAlignment="1">
      <alignment horizontal="center" vertical="center"/>
    </xf>
    <xf numFmtId="0" fontId="9" fillId="9" borderId="5" xfId="16" applyFont="1" applyFill="1" applyBorder="1" applyAlignment="1">
      <alignment horizontal="center" vertical="center"/>
    </xf>
    <xf numFmtId="0" fontId="2" fillId="26" borderId="8" xfId="16" applyFont="1" applyFill="1" applyBorder="1" applyAlignment="1" applyProtection="1">
      <alignment horizontal="center" vertical="center"/>
      <protection locked="0"/>
    </xf>
    <xf numFmtId="0" fontId="9" fillId="0" borderId="0" xfId="16" applyFont="1" applyProtection="1">
      <protection hidden="1"/>
    </xf>
    <xf numFmtId="0" fontId="96" fillId="30" borderId="0" xfId="16" applyFont="1" applyFill="1" applyProtection="1">
      <protection hidden="1"/>
    </xf>
    <xf numFmtId="1" fontId="1" fillId="40" borderId="0" xfId="16" applyNumberFormat="1" applyFill="1" applyAlignment="1" applyProtection="1">
      <alignment horizontal="center"/>
      <protection hidden="1"/>
    </xf>
    <xf numFmtId="165" fontId="9" fillId="39" borderId="13" xfId="16" applyNumberFormat="1" applyFont="1" applyFill="1" applyBorder="1" applyAlignment="1" applyProtection="1">
      <alignment vertical="center"/>
      <protection hidden="1"/>
    </xf>
    <xf numFmtId="0" fontId="2" fillId="0" borderId="0" xfId="16" applyFont="1"/>
    <xf numFmtId="0" fontId="1" fillId="9" borderId="6" xfId="16" applyFill="1" applyBorder="1" applyAlignment="1" applyProtection="1">
      <alignment horizontal="center" vertical="center"/>
      <protection hidden="1"/>
    </xf>
    <xf numFmtId="0" fontId="1" fillId="9" borderId="2" xfId="16" applyFill="1" applyBorder="1" applyAlignment="1" applyProtection="1">
      <alignment horizontal="center" vertical="center"/>
      <protection hidden="1"/>
    </xf>
    <xf numFmtId="0" fontId="1" fillId="9" borderId="7" xfId="16" applyFill="1" applyBorder="1" applyAlignment="1" applyProtection="1">
      <alignment horizontal="center" vertical="center"/>
      <protection hidden="1"/>
    </xf>
    <xf numFmtId="0" fontId="1" fillId="9" borderId="8" xfId="16" applyFill="1" applyBorder="1" applyAlignment="1" applyProtection="1">
      <alignment horizontal="center" vertical="center"/>
      <protection hidden="1"/>
    </xf>
    <xf numFmtId="0" fontId="1" fillId="9" borderId="166" xfId="16" applyFill="1" applyBorder="1" applyAlignment="1" applyProtection="1">
      <alignment horizontal="center" vertical="center"/>
      <protection hidden="1"/>
    </xf>
    <xf numFmtId="0" fontId="1" fillId="9" borderId="41" xfId="16" applyFill="1" applyBorder="1" applyAlignment="1" applyProtection="1">
      <alignment horizontal="center" vertical="center"/>
      <protection hidden="1"/>
    </xf>
    <xf numFmtId="0" fontId="1" fillId="9" borderId="124" xfId="16" applyFill="1" applyBorder="1" applyAlignment="1" applyProtection="1">
      <alignment horizontal="center" vertical="center"/>
      <protection hidden="1"/>
    </xf>
    <xf numFmtId="0" fontId="1" fillId="9" borderId="130" xfId="16" applyFill="1" applyBorder="1" applyAlignment="1" applyProtection="1">
      <alignment horizontal="center" vertical="center"/>
      <protection hidden="1"/>
    </xf>
    <xf numFmtId="0" fontId="1" fillId="9" borderId="130" xfId="16" applyFill="1" applyBorder="1" applyAlignment="1" applyProtection="1">
      <alignment horizontal="center"/>
      <protection hidden="1"/>
    </xf>
    <xf numFmtId="0" fontId="1" fillId="9" borderId="11" xfId="16" applyFill="1" applyBorder="1" applyAlignment="1" applyProtection="1">
      <alignment horizontal="center" vertical="center"/>
      <protection hidden="1"/>
    </xf>
    <xf numFmtId="0" fontId="1" fillId="9" borderId="5" xfId="16" applyFill="1" applyBorder="1" applyAlignment="1" applyProtection="1">
      <alignment horizontal="center" vertical="center"/>
      <protection hidden="1"/>
    </xf>
    <xf numFmtId="0" fontId="1" fillId="9" borderId="140" xfId="16" applyFill="1" applyBorder="1" applyAlignment="1" applyProtection="1">
      <alignment horizontal="center" vertical="center"/>
      <protection hidden="1"/>
    </xf>
    <xf numFmtId="0" fontId="1" fillId="9" borderId="31" xfId="16" applyFill="1" applyBorder="1" applyAlignment="1" applyProtection="1">
      <alignment horizontal="center"/>
      <protection hidden="1"/>
    </xf>
    <xf numFmtId="0" fontId="1" fillId="9" borderId="14" xfId="16" applyFill="1" applyBorder="1" applyAlignment="1" applyProtection="1">
      <alignment horizontal="center"/>
      <protection hidden="1"/>
    </xf>
    <xf numFmtId="165" fontId="9" fillId="0" borderId="13" xfId="16" applyNumberFormat="1" applyFont="1" applyBorder="1" applyAlignment="1" applyProtection="1">
      <alignment horizontal="center" vertical="center"/>
      <protection hidden="1"/>
    </xf>
    <xf numFmtId="165" fontId="9" fillId="6" borderId="11" xfId="16" applyNumberFormat="1" applyFont="1" applyFill="1" applyBorder="1" applyAlignment="1" applyProtection="1">
      <alignment vertical="center"/>
      <protection hidden="1"/>
    </xf>
    <xf numFmtId="1" fontId="9" fillId="37" borderId="0" xfId="16" applyNumberFormat="1" applyFont="1" applyFill="1" applyProtection="1">
      <protection hidden="1"/>
    </xf>
    <xf numFmtId="0" fontId="5" fillId="0" borderId="184" xfId="0" applyFont="1" applyBorder="1" applyAlignment="1" applyProtection="1">
      <alignment horizontal="right"/>
      <protection hidden="1"/>
    </xf>
    <xf numFmtId="0" fontId="1" fillId="0" borderId="22" xfId="16" applyBorder="1" applyAlignment="1" applyProtection="1">
      <alignment horizontal="left" vertical="center"/>
      <protection hidden="1"/>
    </xf>
    <xf numFmtId="0" fontId="1" fillId="41" borderId="0" xfId="16" applyFill="1" applyAlignment="1" applyProtection="1">
      <alignment horizontal="center"/>
      <protection hidden="1"/>
    </xf>
    <xf numFmtId="1" fontId="1" fillId="0" borderId="0" xfId="16" applyNumberFormat="1" applyAlignment="1" applyProtection="1">
      <alignment horizontal="center"/>
      <protection hidden="1"/>
    </xf>
    <xf numFmtId="0" fontId="1" fillId="9" borderId="4" xfId="0" applyFont="1" applyFill="1" applyBorder="1" applyAlignment="1" applyProtection="1">
      <alignment horizontal="center" vertical="center"/>
      <protection hidden="1"/>
    </xf>
    <xf numFmtId="0" fontId="1" fillId="9" borderId="8" xfId="0" applyFont="1" applyFill="1" applyBorder="1" applyAlignment="1" applyProtection="1">
      <alignment horizontal="center" vertical="center"/>
      <protection hidden="1"/>
    </xf>
    <xf numFmtId="0" fontId="3" fillId="9" borderId="163" xfId="0" applyFont="1" applyFill="1" applyBorder="1" applyAlignment="1" applyProtection="1">
      <alignment horizontal="center" vertical="center"/>
      <protection hidden="1"/>
    </xf>
    <xf numFmtId="165" fontId="1" fillId="39" borderId="0" xfId="16" applyNumberFormat="1" applyFill="1" applyAlignment="1" applyProtection="1">
      <alignment horizontal="center"/>
      <protection hidden="1"/>
    </xf>
    <xf numFmtId="1" fontId="1" fillId="39" borderId="0" xfId="16" applyNumberFormat="1" applyFill="1" applyAlignment="1" applyProtection="1">
      <alignment horizontal="center"/>
      <protection hidden="1"/>
    </xf>
    <xf numFmtId="165" fontId="5" fillId="6" borderId="21" xfId="0" applyNumberFormat="1" applyFont="1" applyFill="1" applyBorder="1" applyAlignment="1" applyProtection="1">
      <alignment vertical="center"/>
      <protection hidden="1"/>
    </xf>
    <xf numFmtId="0" fontId="3" fillId="9" borderId="164" xfId="0" applyFont="1" applyFill="1" applyBorder="1" applyAlignment="1" applyProtection="1">
      <alignment horizontal="center" vertical="center"/>
      <protection hidden="1"/>
    </xf>
    <xf numFmtId="0" fontId="3" fillId="0" borderId="0" xfId="16" applyFont="1" applyAlignment="1" applyProtection="1">
      <alignment horizontal="center" vertical="center"/>
      <protection hidden="1"/>
    </xf>
    <xf numFmtId="165" fontId="0" fillId="6" borderId="49" xfId="0" applyNumberFormat="1" applyFill="1" applyBorder="1" applyAlignment="1" applyProtection="1">
      <alignment vertical="center"/>
      <protection hidden="1"/>
    </xf>
    <xf numFmtId="0" fontId="2" fillId="42" borderId="8" xfId="0" applyFont="1" applyFill="1" applyBorder="1" applyAlignment="1" applyProtection="1">
      <alignment horizontal="center" vertical="center"/>
      <protection hidden="1"/>
    </xf>
    <xf numFmtId="0" fontId="2" fillId="26" borderId="8" xfId="0" applyFont="1" applyFill="1" applyBorder="1" applyAlignment="1" applyProtection="1">
      <alignment horizontal="center" vertical="center"/>
      <protection hidden="1"/>
    </xf>
    <xf numFmtId="0" fontId="1" fillId="26" borderId="8" xfId="0" applyFont="1" applyFill="1" applyBorder="1" applyAlignment="1" applyProtection="1">
      <alignment horizontal="center" vertical="center"/>
      <protection hidden="1"/>
    </xf>
    <xf numFmtId="0" fontId="1" fillId="9" borderId="36" xfId="0" applyFont="1" applyFill="1" applyBorder="1" applyAlignment="1" applyProtection="1">
      <alignment horizontal="center" vertical="center"/>
      <protection hidden="1"/>
    </xf>
    <xf numFmtId="0" fontId="1" fillId="9" borderId="40" xfId="0" applyFont="1" applyFill="1" applyBorder="1" applyAlignment="1" applyProtection="1">
      <alignment horizontal="center" vertical="center"/>
      <protection hidden="1"/>
    </xf>
    <xf numFmtId="0" fontId="1" fillId="9" borderId="6" xfId="0" applyFont="1" applyFill="1" applyBorder="1" applyAlignment="1" applyProtection="1">
      <alignment horizontal="center" vertical="center"/>
      <protection hidden="1"/>
    </xf>
    <xf numFmtId="0" fontId="13" fillId="18" borderId="43" xfId="0" applyFont="1" applyFill="1" applyBorder="1" applyAlignment="1" applyProtection="1">
      <alignment horizontal="center" vertical="center"/>
      <protection hidden="1"/>
    </xf>
    <xf numFmtId="0" fontId="21" fillId="18" borderId="2" xfId="0" applyFont="1" applyFill="1" applyBorder="1" applyAlignment="1" applyProtection="1">
      <alignment horizontal="center" vertical="center"/>
      <protection hidden="1"/>
    </xf>
    <xf numFmtId="0" fontId="13" fillId="18" borderId="4" xfId="0" applyFont="1" applyFill="1" applyBorder="1" applyAlignment="1" applyProtection="1">
      <alignment horizontal="center" vertical="center"/>
      <protection hidden="1"/>
    </xf>
    <xf numFmtId="0" fontId="13" fillId="18" borderId="127" xfId="0" applyFont="1" applyFill="1" applyBorder="1" applyAlignment="1" applyProtection="1">
      <alignment horizontal="center" vertical="center"/>
      <protection hidden="1"/>
    </xf>
    <xf numFmtId="0" fontId="13" fillId="18" borderId="38" xfId="0" applyFont="1" applyFill="1" applyBorder="1" applyAlignment="1" applyProtection="1">
      <alignment horizontal="center" vertical="center"/>
      <protection hidden="1"/>
    </xf>
    <xf numFmtId="0" fontId="13" fillId="18" borderId="53" xfId="0" applyFont="1" applyFill="1" applyBorder="1" applyAlignment="1" applyProtection="1">
      <alignment horizontal="center" vertical="center"/>
      <protection hidden="1"/>
    </xf>
    <xf numFmtId="0" fontId="21" fillId="18" borderId="53" xfId="0" applyFont="1" applyFill="1" applyBorder="1" applyAlignment="1" applyProtection="1">
      <alignment horizontal="center" vertical="center"/>
      <protection hidden="1"/>
    </xf>
    <xf numFmtId="0" fontId="21" fillId="18" borderId="130" xfId="0" applyFont="1" applyFill="1" applyBorder="1" applyAlignment="1" applyProtection="1">
      <alignment horizontal="center" vertical="center"/>
      <protection hidden="1"/>
    </xf>
    <xf numFmtId="0" fontId="21" fillId="18" borderId="127" xfId="0" applyFont="1" applyFill="1" applyBorder="1" applyAlignment="1" applyProtection="1">
      <alignment horizontal="center" vertical="center"/>
      <protection hidden="1"/>
    </xf>
    <xf numFmtId="0" fontId="21" fillId="18" borderId="37" xfId="0" applyFont="1" applyFill="1" applyBorder="1" applyAlignment="1" applyProtection="1">
      <alignment horizontal="center" vertical="center"/>
      <protection hidden="1"/>
    </xf>
    <xf numFmtId="49" fontId="5" fillId="9" borderId="51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right"/>
      <protection hidden="1"/>
    </xf>
    <xf numFmtId="2" fontId="1" fillId="0" borderId="0" xfId="16" applyNumberFormat="1" applyProtection="1">
      <protection hidden="1"/>
    </xf>
    <xf numFmtId="0" fontId="1" fillId="0" borderId="0" xfId="16" applyAlignment="1" applyProtection="1">
      <alignment horizontal="right"/>
      <protection hidden="1"/>
    </xf>
    <xf numFmtId="2" fontId="5" fillId="6" borderId="186" xfId="0" applyNumberFormat="1" applyFont="1" applyFill="1" applyBorder="1" applyAlignment="1" applyProtection="1">
      <alignment vertical="center"/>
      <protection hidden="1"/>
    </xf>
    <xf numFmtId="0" fontId="1" fillId="30" borderId="0" xfId="16" applyFill="1" applyProtection="1">
      <protection hidden="1"/>
    </xf>
    <xf numFmtId="165" fontId="1" fillId="6" borderId="49" xfId="0" applyNumberFormat="1" applyFont="1" applyFill="1" applyBorder="1" applyAlignment="1" applyProtection="1">
      <alignment vertical="center"/>
      <protection hidden="1"/>
    </xf>
    <xf numFmtId="165" fontId="1" fillId="27" borderId="17" xfId="0" applyNumberFormat="1" applyFont="1" applyFill="1" applyBorder="1" applyAlignment="1" applyProtection="1">
      <alignment vertical="center"/>
      <protection hidden="1"/>
    </xf>
    <xf numFmtId="2" fontId="1" fillId="6" borderId="31" xfId="0" applyNumberFormat="1" applyFont="1" applyFill="1" applyBorder="1" applyAlignment="1" applyProtection="1">
      <alignment vertical="center"/>
      <protection hidden="1"/>
    </xf>
    <xf numFmtId="0" fontId="5" fillId="9" borderId="17" xfId="0" applyFont="1" applyFill="1" applyBorder="1" applyAlignment="1" applyProtection="1">
      <alignment horizontal="center" vertical="center"/>
      <protection hidden="1"/>
    </xf>
    <xf numFmtId="0" fontId="13" fillId="18" borderId="15" xfId="0" applyFont="1" applyFill="1" applyBorder="1" applyAlignment="1" applyProtection="1">
      <alignment horizontal="center" vertical="center"/>
      <protection hidden="1"/>
    </xf>
    <xf numFmtId="0" fontId="0" fillId="0" borderId="58" xfId="0" applyBorder="1" applyAlignment="1" applyProtection="1">
      <alignment horizontal="center" vertical="center"/>
      <protection hidden="1"/>
    </xf>
    <xf numFmtId="49" fontId="2" fillId="26" borderId="18" xfId="0" applyNumberFormat="1" applyFont="1" applyFill="1" applyBorder="1" applyAlignment="1" applyProtection="1">
      <alignment horizontal="center" vertical="center"/>
      <protection locked="0"/>
    </xf>
    <xf numFmtId="0" fontId="108" fillId="0" borderId="0" xfId="16" applyFont="1" applyProtection="1">
      <protection hidden="1"/>
    </xf>
    <xf numFmtId="0" fontId="5" fillId="9" borderId="188" xfId="0" applyFont="1" applyFill="1" applyBorder="1" applyAlignment="1" applyProtection="1">
      <alignment horizontal="center" vertical="center"/>
      <protection hidden="1"/>
    </xf>
    <xf numFmtId="0" fontId="9" fillId="9" borderId="41" xfId="0" applyFont="1" applyFill="1" applyBorder="1" applyAlignment="1" applyProtection="1">
      <alignment horizontal="right" vertical="center"/>
      <protection hidden="1"/>
    </xf>
    <xf numFmtId="0" fontId="2" fillId="30" borderId="0" xfId="16" applyFont="1" applyFill="1" applyProtection="1">
      <protection hidden="1"/>
    </xf>
    <xf numFmtId="0" fontId="13" fillId="18" borderId="37" xfId="0" applyFont="1" applyFill="1" applyBorder="1" applyAlignment="1" applyProtection="1">
      <alignment horizontal="center" vertical="center"/>
      <protection hidden="1"/>
    </xf>
    <xf numFmtId="49" fontId="2" fillId="39" borderId="8" xfId="0" applyNumberFormat="1" applyFont="1" applyFill="1" applyBorder="1" applyAlignment="1" applyProtection="1">
      <alignment horizontal="center" vertical="center"/>
      <protection hidden="1"/>
    </xf>
    <xf numFmtId="0" fontId="1" fillId="0" borderId="0" xfId="16" applyAlignment="1" applyProtection="1">
      <alignment vertical="center"/>
      <protection hidden="1"/>
    </xf>
    <xf numFmtId="0" fontId="1" fillId="0" borderId="52" xfId="0" applyFont="1" applyBorder="1" applyAlignment="1" applyProtection="1">
      <alignment horizontal="right" vertical="center"/>
      <protection hidden="1"/>
    </xf>
    <xf numFmtId="0" fontId="0" fillId="0" borderId="19" xfId="0" applyBorder="1" applyAlignment="1" applyProtection="1">
      <alignment horizontal="left" vertical="center"/>
      <protection hidden="1"/>
    </xf>
    <xf numFmtId="12" fontId="7" fillId="29" borderId="175" xfId="16" applyNumberFormat="1" applyFont="1" applyFill="1" applyBorder="1" applyAlignment="1" applyProtection="1">
      <alignment horizontal="center" vertical="center"/>
      <protection hidden="1"/>
    </xf>
    <xf numFmtId="172" fontId="5" fillId="6" borderId="142" xfId="0" applyNumberFormat="1" applyFont="1" applyFill="1" applyBorder="1" applyAlignment="1" applyProtection="1">
      <alignment horizontal="right"/>
      <protection hidden="1"/>
    </xf>
    <xf numFmtId="2" fontId="9" fillId="26" borderId="5" xfId="16" applyNumberFormat="1" applyFont="1" applyFill="1" applyBorder="1" applyAlignment="1" applyProtection="1">
      <alignment vertical="center"/>
      <protection locked="0"/>
    </xf>
    <xf numFmtId="0" fontId="11" fillId="0" borderId="0" xfId="16" quotePrefix="1" applyFont="1" applyAlignment="1" applyProtection="1">
      <alignment horizontal="left" vertical="center"/>
      <protection hidden="1"/>
    </xf>
    <xf numFmtId="2" fontId="1" fillId="43" borderId="0" xfId="16" applyNumberFormat="1" applyFill="1" applyProtection="1">
      <protection hidden="1"/>
    </xf>
    <xf numFmtId="2" fontId="1" fillId="43" borderId="0" xfId="16" applyNumberFormat="1" applyFill="1"/>
    <xf numFmtId="0" fontId="1" fillId="0" borderId="0" xfId="16" applyAlignment="1" applyProtection="1">
      <alignment horizontal="center" vertical="center"/>
      <protection hidden="1"/>
    </xf>
    <xf numFmtId="0" fontId="9" fillId="9" borderId="6" xfId="16" applyFont="1" applyFill="1" applyBorder="1" applyAlignment="1" applyProtection="1">
      <alignment horizontal="center" vertical="center"/>
      <protection hidden="1"/>
    </xf>
    <xf numFmtId="49" fontId="2" fillId="42" borderId="13" xfId="0" applyNumberFormat="1" applyFont="1" applyFill="1" applyBorder="1" applyAlignment="1" applyProtection="1">
      <alignment horizontal="center" vertical="center"/>
      <protection hidden="1"/>
    </xf>
    <xf numFmtId="0" fontId="1" fillId="44" borderId="13" xfId="16" applyFill="1" applyBorder="1" applyAlignment="1" applyProtection="1">
      <alignment horizontal="center"/>
      <protection hidden="1"/>
    </xf>
    <xf numFmtId="2" fontId="1" fillId="45" borderId="0" xfId="16" applyNumberFormat="1" applyFill="1" applyAlignment="1" applyProtection="1">
      <alignment horizontal="right"/>
      <protection hidden="1"/>
    </xf>
    <xf numFmtId="0" fontId="1" fillId="45" borderId="0" xfId="16" applyFill="1" applyAlignment="1" applyProtection="1">
      <alignment horizontal="right"/>
      <protection hidden="1"/>
    </xf>
    <xf numFmtId="0" fontId="92" fillId="46" borderId="0" xfId="16" applyFont="1" applyFill="1" applyAlignment="1" applyProtection="1">
      <alignment horizontal="center"/>
      <protection hidden="1"/>
    </xf>
    <xf numFmtId="0" fontId="9" fillId="0" borderId="13" xfId="0" applyFont="1" applyBorder="1" applyProtection="1">
      <protection hidden="1"/>
    </xf>
    <xf numFmtId="165" fontId="2" fillId="26" borderId="13" xfId="0" applyNumberFormat="1" applyFont="1" applyFill="1" applyBorder="1" applyAlignment="1" applyProtection="1">
      <alignment horizontal="center"/>
      <protection hidden="1"/>
    </xf>
    <xf numFmtId="0" fontId="7" fillId="40" borderId="13" xfId="0" applyFont="1" applyFill="1" applyBorder="1" applyAlignment="1" applyProtection="1">
      <alignment horizontal="center"/>
      <protection hidden="1"/>
    </xf>
    <xf numFmtId="0" fontId="2" fillId="26" borderId="13" xfId="0" applyFont="1" applyFill="1" applyBorder="1" applyAlignment="1" applyProtection="1">
      <alignment horizontal="center"/>
      <protection hidden="1"/>
    </xf>
    <xf numFmtId="0" fontId="2" fillId="42" borderId="13" xfId="0" applyFont="1" applyFill="1" applyBorder="1" applyAlignment="1" applyProtection="1">
      <alignment horizontal="center" vertical="center"/>
      <protection hidden="1"/>
    </xf>
    <xf numFmtId="2" fontId="9" fillId="37" borderId="178" xfId="16" applyNumberFormat="1" applyFont="1" applyFill="1" applyBorder="1" applyAlignment="1" applyProtection="1">
      <alignment vertical="center"/>
      <protection hidden="1"/>
    </xf>
    <xf numFmtId="2" fontId="9" fillId="37" borderId="0" xfId="16" applyNumberFormat="1" applyFont="1" applyFill="1" applyAlignment="1" applyProtection="1">
      <alignment vertical="center"/>
      <protection hidden="1"/>
    </xf>
    <xf numFmtId="0" fontId="1" fillId="0" borderId="34" xfId="0" applyFont="1" applyBorder="1" applyAlignment="1" applyProtection="1">
      <alignment horizontal="right" vertical="center"/>
      <protection hidden="1"/>
    </xf>
    <xf numFmtId="0" fontId="9" fillId="0" borderId="0" xfId="16" applyFont="1" applyAlignment="1" applyProtection="1">
      <alignment horizontal="center"/>
      <protection hidden="1"/>
    </xf>
    <xf numFmtId="0" fontId="9" fillId="0" borderId="0" xfId="16" applyFont="1" applyAlignment="1" applyProtection="1">
      <alignment vertical="top"/>
      <protection hidden="1"/>
    </xf>
    <xf numFmtId="165" fontId="5" fillId="47" borderId="13" xfId="0" applyNumberFormat="1" applyFont="1" applyFill="1" applyBorder="1" applyAlignment="1" applyProtection="1">
      <alignment horizontal="center" vertical="center"/>
      <protection locked="0"/>
    </xf>
    <xf numFmtId="1" fontId="5" fillId="47" borderId="13" xfId="0" applyNumberFormat="1" applyFont="1" applyFill="1" applyBorder="1" applyAlignment="1" applyProtection="1">
      <alignment horizontal="center" vertical="center"/>
      <protection locked="0"/>
    </xf>
    <xf numFmtId="2" fontId="5" fillId="47" borderId="13" xfId="0" applyNumberFormat="1" applyFont="1" applyFill="1" applyBorder="1" applyAlignment="1" applyProtection="1">
      <alignment horizontal="center" vertical="center"/>
      <protection locked="0"/>
    </xf>
    <xf numFmtId="165" fontId="5" fillId="47" borderId="13" xfId="0" applyNumberFormat="1" applyFont="1" applyFill="1" applyBorder="1" applyAlignment="1" applyProtection="1">
      <alignment horizontal="center" vertical="center" wrapText="1"/>
      <protection locked="0"/>
    </xf>
    <xf numFmtId="9" fontId="5" fillId="47" borderId="13" xfId="6" applyFont="1" applyFill="1" applyBorder="1" applyAlignment="1" applyProtection="1">
      <alignment horizontal="center" vertical="center"/>
      <protection locked="0"/>
    </xf>
    <xf numFmtId="0" fontId="11" fillId="47" borderId="13" xfId="0" applyFont="1" applyFill="1" applyBorder="1" applyAlignment="1" applyProtection="1">
      <alignment horizontal="center"/>
      <protection locked="0"/>
    </xf>
    <xf numFmtId="0" fontId="5" fillId="47" borderId="13" xfId="0" applyFont="1" applyFill="1" applyBorder="1" applyAlignment="1" applyProtection="1">
      <alignment horizontal="center" vertical="center"/>
      <protection locked="0"/>
    </xf>
    <xf numFmtId="2" fontId="9" fillId="47" borderId="13" xfId="0" applyNumberFormat="1" applyFont="1" applyFill="1" applyBorder="1" applyAlignment="1" applyProtection="1">
      <alignment horizontal="center" vertical="center"/>
      <protection locked="0"/>
    </xf>
    <xf numFmtId="2" fontId="9" fillId="47" borderId="22" xfId="18" applyNumberFormat="1" applyFont="1" applyFill="1" applyBorder="1" applyAlignment="1" applyProtection="1">
      <alignment vertical="center"/>
      <protection locked="0"/>
    </xf>
    <xf numFmtId="2" fontId="5" fillId="47" borderId="13" xfId="0" applyNumberFormat="1" applyFont="1" applyFill="1" applyBorder="1" applyAlignment="1" applyProtection="1">
      <alignment vertical="center"/>
      <protection locked="0"/>
    </xf>
    <xf numFmtId="165" fontId="5" fillId="47" borderId="17" xfId="0" applyNumberFormat="1" applyFont="1" applyFill="1" applyBorder="1" applyAlignment="1" applyProtection="1">
      <alignment vertical="center"/>
      <protection locked="0"/>
    </xf>
    <xf numFmtId="0" fontId="8" fillId="47" borderId="13" xfId="1" applyFont="1" applyFill="1" applyBorder="1" applyAlignment="1" applyProtection="1">
      <alignment horizontal="right" vertical="center"/>
      <protection locked="0"/>
    </xf>
    <xf numFmtId="0" fontId="110" fillId="0" borderId="0" xfId="0" applyFont="1" applyAlignment="1">
      <alignment vertical="center"/>
    </xf>
    <xf numFmtId="0" fontId="69" fillId="0" borderId="0" xfId="0" applyFont="1"/>
    <xf numFmtId="0" fontId="76" fillId="0" borderId="0" xfId="0" applyFont="1"/>
    <xf numFmtId="0" fontId="70" fillId="0" borderId="0" xfId="0" applyFont="1"/>
    <xf numFmtId="0" fontId="32" fillId="18" borderId="38" xfId="0" applyFont="1" applyFill="1" applyBorder="1" applyAlignment="1" applyProtection="1">
      <alignment horizontal="center" vertical="center"/>
      <protection hidden="1"/>
    </xf>
    <xf numFmtId="0" fontId="8" fillId="9" borderId="0" xfId="0" applyFont="1" applyFill="1" applyAlignment="1">
      <alignment horizontal="left"/>
    </xf>
    <xf numFmtId="0" fontId="2" fillId="9" borderId="0" xfId="0" applyFont="1" applyFill="1" applyAlignment="1">
      <alignment horizontal="center"/>
    </xf>
    <xf numFmtId="0" fontId="13" fillId="18" borderId="190" xfId="0" applyFont="1" applyFill="1" applyBorder="1" applyAlignment="1" applyProtection="1">
      <alignment horizontal="center" vertical="center"/>
      <protection hidden="1"/>
    </xf>
    <xf numFmtId="0" fontId="13" fillId="18" borderId="3" xfId="0" applyFont="1" applyFill="1" applyBorder="1" applyAlignment="1" applyProtection="1">
      <alignment horizontal="center" vertical="center"/>
      <protection hidden="1"/>
    </xf>
    <xf numFmtId="0" fontId="92" fillId="0" borderId="0" xfId="0" applyFont="1" applyAlignment="1">
      <alignment horizontal="center" vertical="center"/>
    </xf>
    <xf numFmtId="0" fontId="9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9" borderId="35" xfId="0" applyFont="1" applyFill="1" applyBorder="1" applyAlignment="1" applyProtection="1">
      <alignment horizontal="center" vertical="center"/>
      <protection hidden="1"/>
    </xf>
    <xf numFmtId="49" fontId="1" fillId="9" borderId="51" xfId="0" applyNumberFormat="1" applyFont="1" applyFill="1" applyBorder="1" applyAlignment="1" applyProtection="1">
      <alignment horizontal="center" vertical="center"/>
      <protection hidden="1"/>
    </xf>
    <xf numFmtId="0" fontId="1" fillId="9" borderId="42" xfId="0" applyFont="1" applyFill="1" applyBorder="1" applyAlignment="1" applyProtection="1">
      <alignment horizontal="center" vertical="center"/>
      <protection hidden="1"/>
    </xf>
    <xf numFmtId="0" fontId="1" fillId="9" borderId="37" xfId="19" applyFill="1" applyBorder="1" applyAlignment="1" applyProtection="1">
      <alignment horizontal="center" vertical="center"/>
      <protection hidden="1"/>
    </xf>
    <xf numFmtId="0" fontId="1" fillId="9" borderId="2" xfId="19" applyFill="1" applyBorder="1" applyAlignment="1" applyProtection="1">
      <alignment horizontal="center" vertical="center"/>
      <protection hidden="1"/>
    </xf>
    <xf numFmtId="0" fontId="1" fillId="2" borderId="31" xfId="0" applyFont="1" applyFill="1" applyBorder="1" applyAlignment="1">
      <alignment horizontal="right" vertical="center" wrapText="1"/>
    </xf>
    <xf numFmtId="12" fontId="67" fillId="0" borderId="0" xfId="0" applyNumberFormat="1" applyFont="1" applyAlignment="1">
      <alignment horizontal="center" vertical="center"/>
    </xf>
    <xf numFmtId="0" fontId="1" fillId="9" borderId="11" xfId="0" applyFont="1" applyFill="1" applyBorder="1" applyAlignment="1" applyProtection="1">
      <alignment horizontal="center" vertical="center"/>
      <protection hidden="1"/>
    </xf>
    <xf numFmtId="0" fontId="1" fillId="9" borderId="14" xfId="0" applyFont="1" applyFill="1" applyBorder="1" applyAlignment="1" applyProtection="1">
      <alignment horizontal="center" vertical="center"/>
      <protection hidden="1"/>
    </xf>
    <xf numFmtId="0" fontId="1" fillId="9" borderId="14" xfId="17" applyFill="1" applyBorder="1" applyAlignment="1" applyProtection="1">
      <alignment horizontal="center" vertical="center"/>
      <protection hidden="1"/>
    </xf>
    <xf numFmtId="0" fontId="1" fillId="9" borderId="41" xfId="17" applyFill="1" applyBorder="1" applyAlignment="1" applyProtection="1">
      <alignment horizontal="center" vertical="center"/>
      <protection hidden="1"/>
    </xf>
    <xf numFmtId="0" fontId="1" fillId="9" borderId="5" xfId="17" applyFill="1" applyBorder="1" applyAlignment="1" applyProtection="1">
      <alignment horizontal="center" vertical="center"/>
      <protection hidden="1"/>
    </xf>
    <xf numFmtId="0" fontId="113" fillId="50" borderId="13" xfId="17" applyFont="1" applyFill="1" applyBorder="1" applyAlignment="1" applyProtection="1">
      <alignment horizontal="center" vertical="center"/>
      <protection hidden="1"/>
    </xf>
    <xf numFmtId="0" fontId="113" fillId="28" borderId="13" xfId="17" applyFont="1" applyFill="1" applyBorder="1" applyAlignment="1" applyProtection="1">
      <alignment horizontal="center" vertical="center"/>
      <protection hidden="1"/>
    </xf>
    <xf numFmtId="0" fontId="113" fillId="49" borderId="13" xfId="17" applyFont="1" applyFill="1" applyBorder="1" applyAlignment="1" applyProtection="1">
      <alignment horizontal="center" vertical="center"/>
      <protection hidden="1"/>
    </xf>
    <xf numFmtId="0" fontId="113" fillId="50" borderId="43" xfId="17" applyFont="1" applyFill="1" applyBorder="1" applyAlignment="1" applyProtection="1">
      <alignment horizontal="center" vertical="center"/>
      <protection hidden="1"/>
    </xf>
    <xf numFmtId="0" fontId="113" fillId="28" borderId="43" xfId="17" applyFont="1" applyFill="1" applyBorder="1" applyAlignment="1" applyProtection="1">
      <alignment horizontal="center" vertical="center"/>
      <protection hidden="1"/>
    </xf>
    <xf numFmtId="0" fontId="113" fillId="49" borderId="43" xfId="17" applyFont="1" applyFill="1" applyBorder="1" applyAlignment="1" applyProtection="1">
      <alignment horizontal="center" vertical="center"/>
      <protection hidden="1"/>
    </xf>
    <xf numFmtId="0" fontId="9" fillId="2" borderId="31" xfId="0" applyFont="1" applyFill="1" applyBorder="1" applyAlignment="1">
      <alignment horizontal="right" vertical="center" wrapText="1"/>
    </xf>
    <xf numFmtId="0" fontId="67" fillId="0" borderId="0" xfId="0" applyFont="1" applyAlignment="1">
      <alignment horizontal="center" vertical="center"/>
    </xf>
    <xf numFmtId="0" fontId="1" fillId="9" borderId="11" xfId="0" applyFont="1" applyFill="1" applyBorder="1" applyAlignment="1" applyProtection="1">
      <alignment horizontal="right" vertical="center"/>
      <protection hidden="1"/>
    </xf>
    <xf numFmtId="0" fontId="2" fillId="51" borderId="8" xfId="0" applyFont="1" applyFill="1" applyBorder="1" applyAlignment="1" applyProtection="1">
      <alignment horizontal="center" vertical="center"/>
      <protection hidden="1"/>
    </xf>
    <xf numFmtId="12" fontId="2" fillId="51" borderId="20" xfId="0" applyNumberFormat="1" applyFont="1" applyFill="1" applyBorder="1" applyAlignment="1" applyProtection="1">
      <alignment horizontal="right" vertical="center"/>
      <protection hidden="1"/>
    </xf>
    <xf numFmtId="2" fontId="1" fillId="47" borderId="20" xfId="18" applyNumberFormat="1" applyFill="1" applyBorder="1" applyAlignment="1" applyProtection="1">
      <alignment vertical="center"/>
      <protection locked="0"/>
    </xf>
    <xf numFmtId="0" fontId="2" fillId="47" borderId="13" xfId="18" applyFont="1" applyFill="1" applyBorder="1" applyAlignment="1" applyProtection="1">
      <alignment horizontal="center" vertical="center"/>
      <protection locked="0"/>
    </xf>
    <xf numFmtId="0" fontId="112" fillId="50" borderId="19" xfId="0" applyFont="1" applyFill="1" applyBorder="1" applyAlignment="1" applyProtection="1">
      <alignment horizontal="center" vertical="center"/>
      <protection hidden="1"/>
    </xf>
    <xf numFmtId="0" fontId="1" fillId="0" borderId="19" xfId="0" applyFont="1" applyBorder="1" applyAlignment="1" applyProtection="1">
      <alignment horizontal="left" vertical="center"/>
      <protection hidden="1"/>
    </xf>
    <xf numFmtId="0" fontId="1" fillId="0" borderId="33" xfId="0" applyFont="1" applyBorder="1" applyAlignment="1" applyProtection="1">
      <alignment horizontal="left" vertical="center"/>
      <protection hidden="1"/>
    </xf>
    <xf numFmtId="2" fontId="91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112" fillId="50" borderId="29" xfId="0" applyFont="1" applyFill="1" applyBorder="1" applyAlignment="1" applyProtection="1">
      <alignment horizontal="center" vertical="center"/>
      <protection hidden="1"/>
    </xf>
    <xf numFmtId="0" fontId="1" fillId="0" borderId="29" xfId="0" applyFont="1" applyBorder="1" applyAlignment="1" applyProtection="1">
      <alignment horizontal="left" vertical="center"/>
      <protection hidden="1"/>
    </xf>
    <xf numFmtId="0" fontId="112" fillId="50" borderId="0" xfId="0" applyFont="1" applyFill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12" fillId="50" borderId="33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0" fontId="112" fillId="50" borderId="46" xfId="0" applyFont="1" applyFill="1" applyBorder="1" applyAlignment="1" applyProtection="1">
      <alignment horizontal="center" vertical="center"/>
      <protection hidden="1"/>
    </xf>
    <xf numFmtId="0" fontId="1" fillId="0" borderId="46" xfId="0" applyFont="1" applyBorder="1" applyAlignment="1" applyProtection="1">
      <alignment horizontal="left" vertical="center"/>
      <protection hidden="1"/>
    </xf>
    <xf numFmtId="0" fontId="112" fillId="33" borderId="19" xfId="0" applyFont="1" applyFill="1" applyBorder="1" applyAlignment="1" applyProtection="1">
      <alignment horizontal="center" vertical="center"/>
      <protection hidden="1"/>
    </xf>
    <xf numFmtId="0" fontId="112" fillId="33" borderId="29" xfId="0" applyFont="1" applyFill="1" applyBorder="1" applyAlignment="1" applyProtection="1">
      <alignment horizontal="center" vertical="center"/>
      <protection hidden="1"/>
    </xf>
    <xf numFmtId="0" fontId="112" fillId="33" borderId="33" xfId="0" applyFont="1" applyFill="1" applyBorder="1" applyAlignment="1" applyProtection="1">
      <alignment horizontal="center" vertical="center"/>
      <protection hidden="1"/>
    </xf>
    <xf numFmtId="165" fontId="0" fillId="0" borderId="0" xfId="0" applyNumberFormat="1" applyAlignment="1">
      <alignment horizontal="center" vertical="center"/>
    </xf>
    <xf numFmtId="0" fontId="112" fillId="49" borderId="19" xfId="0" applyFont="1" applyFill="1" applyBorder="1" applyAlignment="1" applyProtection="1">
      <alignment horizontal="center" vertical="center"/>
      <protection hidden="1"/>
    </xf>
    <xf numFmtId="0" fontId="112" fillId="49" borderId="29" xfId="0" applyFont="1" applyFill="1" applyBorder="1" applyAlignment="1" applyProtection="1">
      <alignment horizontal="center" vertical="center"/>
      <protection hidden="1"/>
    </xf>
    <xf numFmtId="0" fontId="112" fillId="49" borderId="33" xfId="0" applyFont="1" applyFill="1" applyBorder="1" applyAlignment="1" applyProtection="1">
      <alignment horizontal="center" vertical="center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12" fontId="2" fillId="0" borderId="20" xfId="0" applyNumberFormat="1" applyFont="1" applyBorder="1" applyAlignment="1" applyProtection="1">
      <alignment horizontal="right" vertical="center"/>
      <protection hidden="1"/>
    </xf>
    <xf numFmtId="2" fontId="1" fillId="0" borderId="32" xfId="0" applyNumberFormat="1" applyFont="1" applyBorder="1" applyAlignment="1" applyProtection="1">
      <alignment vertical="center"/>
      <protection hidden="1"/>
    </xf>
    <xf numFmtId="2" fontId="1" fillId="0" borderId="18" xfId="0" applyNumberFormat="1" applyFont="1" applyBorder="1" applyAlignment="1" applyProtection="1">
      <alignment vertical="center"/>
      <protection hidden="1"/>
    </xf>
    <xf numFmtId="2" fontId="1" fillId="0" borderId="20" xfId="18" applyNumberFormat="1" applyBorder="1" applyAlignment="1" applyProtection="1">
      <alignment vertical="center"/>
      <protection hidden="1"/>
    </xf>
    <xf numFmtId="0" fontId="2" fillId="0" borderId="13" xfId="18" applyFont="1" applyBorder="1" applyAlignment="1" applyProtection="1">
      <alignment horizontal="center" vertical="center"/>
      <protection hidden="1"/>
    </xf>
    <xf numFmtId="2" fontId="9" fillId="51" borderId="40" xfId="0" applyNumberFormat="1" applyFont="1" applyFill="1" applyBorder="1" applyAlignment="1" applyProtection="1">
      <alignment vertical="center"/>
      <protection hidden="1"/>
    </xf>
    <xf numFmtId="2" fontId="9" fillId="30" borderId="40" xfId="0" applyNumberFormat="1" applyFont="1" applyFill="1" applyBorder="1" applyAlignment="1" applyProtection="1">
      <alignment vertical="center"/>
      <protection hidden="1"/>
    </xf>
    <xf numFmtId="0" fontId="97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 applyAlignment="1">
      <alignment vertical="top"/>
    </xf>
    <xf numFmtId="0" fontId="0" fillId="28" borderId="43" xfId="0" applyFill="1" applyBorder="1"/>
    <xf numFmtId="0" fontId="0" fillId="28" borderId="38" xfId="0" applyFill="1" applyBorder="1"/>
    <xf numFmtId="0" fontId="0" fillId="28" borderId="38" xfId="0" applyFill="1" applyBorder="1" applyAlignment="1">
      <alignment vertical="center"/>
    </xf>
    <xf numFmtId="0" fontId="0" fillId="28" borderId="7" xfId="0" applyFill="1" applyBorder="1"/>
    <xf numFmtId="0" fontId="0" fillId="28" borderId="28" xfId="0" applyFill="1" applyBorder="1"/>
    <xf numFmtId="2" fontId="0" fillId="0" borderId="0" xfId="0" applyNumberFormat="1" applyAlignment="1" applyProtection="1">
      <alignment horizontal="center" vertical="center"/>
      <protection hidden="1"/>
    </xf>
    <xf numFmtId="165" fontId="0" fillId="0" borderId="0" xfId="0" applyNumberFormat="1" applyAlignment="1" applyProtection="1">
      <alignment horizontal="center" vertical="center"/>
      <protection hidden="1"/>
    </xf>
    <xf numFmtId="0" fontId="0" fillId="28" borderId="38" xfId="0" applyFill="1" applyBorder="1" applyProtection="1">
      <protection hidden="1"/>
    </xf>
    <xf numFmtId="0" fontId="95" fillId="0" borderId="0" xfId="0" applyFont="1" applyAlignment="1" applyProtection="1">
      <alignment horizontal="center"/>
      <protection hidden="1"/>
    </xf>
    <xf numFmtId="0" fontId="0" fillId="28" borderId="38" xfId="0" applyFill="1" applyBorder="1" applyAlignment="1" applyProtection="1">
      <alignment vertical="center"/>
      <protection hidden="1"/>
    </xf>
    <xf numFmtId="2" fontId="9" fillId="0" borderId="40" xfId="0" applyNumberFormat="1" applyFont="1" applyBorder="1" applyAlignment="1" applyProtection="1">
      <alignment vertical="center"/>
      <protection hidden="1"/>
    </xf>
    <xf numFmtId="0" fontId="0" fillId="28" borderId="7" xfId="0" applyFill="1" applyBorder="1" applyProtection="1">
      <protection hidden="1"/>
    </xf>
    <xf numFmtId="0" fontId="1" fillId="9" borderId="0" xfId="0" applyFont="1" applyFill="1" applyAlignment="1" applyProtection="1">
      <alignment horizontal="left" vertical="center"/>
      <protection hidden="1"/>
    </xf>
    <xf numFmtId="0" fontId="1" fillId="47" borderId="14" xfId="0" applyFont="1" applyFill="1" applyBorder="1" applyAlignment="1" applyProtection="1">
      <alignment horizontal="center" vertical="center"/>
      <protection locked="0"/>
    </xf>
    <xf numFmtId="2" fontId="0" fillId="0" borderId="0" xfId="0" applyNumberFormat="1"/>
    <xf numFmtId="2" fontId="1" fillId="27" borderId="18" xfId="0" applyNumberFormat="1" applyFont="1" applyFill="1" applyBorder="1" applyAlignment="1" applyProtection="1">
      <alignment vertical="center"/>
      <protection hidden="1"/>
    </xf>
    <xf numFmtId="1" fontId="3" fillId="0" borderId="0" xfId="0" applyNumberFormat="1" applyFont="1" applyProtection="1">
      <protection hidden="1"/>
    </xf>
    <xf numFmtId="1" fontId="9" fillId="0" borderId="0" xfId="0" applyNumberFormat="1" applyFont="1" applyProtection="1">
      <protection hidden="1"/>
    </xf>
    <xf numFmtId="1" fontId="5" fillId="2" borderId="13" xfId="0" applyNumberFormat="1" applyFont="1" applyFill="1" applyBorder="1" applyAlignment="1" applyProtection="1">
      <alignment horizontal="left" vertical="center"/>
      <protection hidden="1"/>
    </xf>
    <xf numFmtId="166" fontId="9" fillId="6" borderId="31" xfId="0" applyNumberFormat="1" applyFont="1" applyFill="1" applyBorder="1" applyAlignment="1" applyProtection="1">
      <alignment vertical="center"/>
      <protection hidden="1"/>
    </xf>
    <xf numFmtId="1" fontId="5" fillId="52" borderId="28" xfId="0" applyNumberFormat="1" applyFont="1" applyFill="1" applyBorder="1" applyAlignment="1" applyProtection="1">
      <alignment horizontal="left" vertical="center"/>
      <protection hidden="1"/>
    </xf>
    <xf numFmtId="0" fontId="7" fillId="30" borderId="0" xfId="0" applyFont="1" applyFill="1" applyProtection="1">
      <protection hidden="1"/>
    </xf>
    <xf numFmtId="1" fontId="1" fillId="52" borderId="31" xfId="0" applyNumberFormat="1" applyFont="1" applyFill="1" applyBorder="1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1" fillId="9" borderId="126" xfId="0" applyFont="1" applyFill="1" applyBorder="1" applyAlignment="1" applyProtection="1">
      <alignment horizontal="left" vertical="center"/>
      <protection hidden="1"/>
    </xf>
    <xf numFmtId="1" fontId="1" fillId="26" borderId="13" xfId="0" applyNumberFormat="1" applyFont="1" applyFill="1" applyBorder="1" applyAlignment="1" applyProtection="1">
      <alignment horizontal="center" vertical="center"/>
      <protection locked="0"/>
    </xf>
    <xf numFmtId="2" fontId="1" fillId="26" borderId="31" xfId="0" applyNumberFormat="1" applyFont="1" applyFill="1" applyBorder="1" applyAlignment="1" applyProtection="1">
      <alignment vertical="center"/>
      <protection locked="0"/>
    </xf>
    <xf numFmtId="2" fontId="1" fillId="26" borderId="32" xfId="0" applyNumberFormat="1" applyFont="1" applyFill="1" applyBorder="1" applyAlignment="1" applyProtection="1">
      <alignment vertical="center"/>
      <protection locked="0"/>
    </xf>
    <xf numFmtId="1" fontId="1" fillId="26" borderId="14" xfId="0" applyNumberFormat="1" applyFont="1" applyFill="1" applyBorder="1" applyAlignment="1" applyProtection="1">
      <alignment horizontal="center" vertical="center"/>
      <protection locked="0"/>
    </xf>
    <xf numFmtId="49" fontId="2" fillId="26" borderId="21" xfId="16" applyNumberFormat="1" applyFont="1" applyFill="1" applyBorder="1" applyAlignment="1" applyProtection="1">
      <alignment horizontal="center" vertical="center"/>
      <protection locked="0"/>
    </xf>
    <xf numFmtId="49" fontId="2" fillId="26" borderId="22" xfId="16" applyNumberFormat="1" applyFont="1" applyFill="1" applyBorder="1" applyAlignment="1" applyProtection="1">
      <alignment horizontal="center" vertical="center"/>
      <protection locked="0"/>
    </xf>
    <xf numFmtId="1" fontId="1" fillId="26" borderId="14" xfId="16" applyNumberFormat="1" applyFill="1" applyBorder="1" applyAlignment="1" applyProtection="1">
      <alignment horizontal="center" vertical="center"/>
      <protection locked="0"/>
    </xf>
    <xf numFmtId="2" fontId="1" fillId="26" borderId="31" xfId="16" applyNumberFormat="1" applyFill="1" applyBorder="1" applyAlignment="1" applyProtection="1">
      <alignment vertical="center"/>
      <protection locked="0"/>
    </xf>
    <xf numFmtId="1" fontId="1" fillId="26" borderId="13" xfId="16" applyNumberFormat="1" applyFill="1" applyBorder="1" applyAlignment="1" applyProtection="1">
      <alignment horizontal="center" vertical="center"/>
      <protection locked="0"/>
    </xf>
    <xf numFmtId="0" fontId="9" fillId="51" borderId="0" xfId="0" applyFont="1" applyFill="1" applyProtection="1">
      <protection hidden="1"/>
    </xf>
    <xf numFmtId="0" fontId="1" fillId="53" borderId="0" xfId="0" applyFont="1" applyFill="1" applyProtection="1">
      <protection hidden="1"/>
    </xf>
    <xf numFmtId="0" fontId="0" fillId="53" borderId="0" xfId="0" applyFill="1" applyProtection="1">
      <protection hidden="1"/>
    </xf>
    <xf numFmtId="2" fontId="0" fillId="53" borderId="0" xfId="0" applyNumberFormat="1" applyFill="1" applyProtection="1">
      <protection hidden="1"/>
    </xf>
    <xf numFmtId="0" fontId="1" fillId="53" borderId="0" xfId="0" applyFont="1" applyFill="1" applyAlignment="1" applyProtection="1">
      <alignment horizontal="right"/>
      <protection hidden="1"/>
    </xf>
    <xf numFmtId="0" fontId="1" fillId="29" borderId="0" xfId="0" applyFont="1" applyFill="1" applyProtection="1">
      <protection hidden="1"/>
    </xf>
    <xf numFmtId="2" fontId="0" fillId="29" borderId="0" xfId="0" applyNumberFormat="1" applyFill="1" applyProtection="1">
      <protection hidden="1"/>
    </xf>
    <xf numFmtId="0" fontId="1" fillId="0" borderId="70" xfId="0" applyFont="1" applyBorder="1" applyAlignment="1" applyProtection="1">
      <alignment horizontal="left"/>
      <protection hidden="1"/>
    </xf>
    <xf numFmtId="0" fontId="1" fillId="0" borderId="70" xfId="0" applyFont="1" applyBorder="1" applyProtection="1">
      <protection hidden="1"/>
    </xf>
    <xf numFmtId="0" fontId="1" fillId="0" borderId="70" xfId="0" quotePrefix="1" applyFont="1" applyBorder="1" applyAlignment="1" applyProtection="1">
      <alignment horizontal="left"/>
      <protection hidden="1"/>
    </xf>
    <xf numFmtId="0" fontId="1" fillId="0" borderId="135" xfId="0" applyFont="1" applyBorder="1" applyAlignment="1" applyProtection="1">
      <alignment horizontal="left"/>
      <protection hidden="1"/>
    </xf>
    <xf numFmtId="0" fontId="1" fillId="0" borderId="135" xfId="0" applyFont="1" applyBorder="1" applyProtection="1">
      <protection hidden="1"/>
    </xf>
    <xf numFmtId="0" fontId="1" fillId="0" borderId="136" xfId="0" quotePrefix="1" applyFont="1" applyBorder="1" applyAlignment="1" applyProtection="1">
      <alignment horizontal="left"/>
      <protection hidden="1"/>
    </xf>
    <xf numFmtId="0" fontId="1" fillId="0" borderId="136" xfId="0" applyFont="1" applyBorder="1" applyProtection="1">
      <protection hidden="1"/>
    </xf>
    <xf numFmtId="0" fontId="1" fillId="0" borderId="136" xfId="0" applyFont="1" applyBorder="1" applyAlignment="1" applyProtection="1">
      <alignment horizontal="left"/>
      <protection hidden="1"/>
    </xf>
    <xf numFmtId="0" fontId="118" fillId="0" borderId="0" xfId="0" applyFont="1" applyAlignment="1" applyProtection="1">
      <alignment horizontal="left"/>
      <protection hidden="1"/>
    </xf>
    <xf numFmtId="0" fontId="5" fillId="9" borderId="44" xfId="0" applyFont="1" applyFill="1" applyBorder="1" applyAlignment="1" applyProtection="1">
      <alignment horizontal="center"/>
      <protection hidden="1"/>
    </xf>
    <xf numFmtId="2" fontId="91" fillId="0" borderId="0" xfId="0" applyNumberFormat="1" applyFont="1" applyAlignment="1" applyProtection="1">
      <alignment horizontal="center" vertical="center"/>
      <protection hidden="1"/>
    </xf>
    <xf numFmtId="1" fontId="1" fillId="2" borderId="13" xfId="0" applyNumberFormat="1" applyFont="1" applyFill="1" applyBorder="1" applyAlignment="1" applyProtection="1">
      <alignment horizontal="left" vertical="center"/>
      <protection hidden="1"/>
    </xf>
    <xf numFmtId="165" fontId="9" fillId="6" borderId="31" xfId="0" applyNumberFormat="1" applyFont="1" applyFill="1" applyBorder="1" applyAlignment="1" applyProtection="1">
      <alignment vertical="center"/>
      <protection hidden="1"/>
    </xf>
    <xf numFmtId="1" fontId="92" fillId="25" borderId="13" xfId="0" applyNumberFormat="1" applyFont="1" applyFill="1" applyBorder="1" applyAlignment="1" applyProtection="1">
      <alignment horizontal="center" vertical="center"/>
      <protection hidden="1"/>
    </xf>
    <xf numFmtId="0" fontId="92" fillId="0" borderId="0" xfId="0" applyFont="1" applyAlignment="1" applyProtection="1">
      <alignment vertical="center"/>
      <protection hidden="1"/>
    </xf>
    <xf numFmtId="0" fontId="0" fillId="0" borderId="191" xfId="0" applyBorder="1" applyAlignment="1">
      <alignment vertical="center"/>
    </xf>
    <xf numFmtId="0" fontId="1" fillId="0" borderId="0" xfId="0" applyFont="1" applyAlignment="1">
      <alignment vertical="center"/>
    </xf>
    <xf numFmtId="0" fontId="21" fillId="54" borderId="11" xfId="0" applyFont="1" applyFill="1" applyBorder="1" applyAlignment="1" applyProtection="1">
      <alignment horizontal="center" vertical="center"/>
      <protection hidden="1"/>
    </xf>
    <xf numFmtId="0" fontId="21" fillId="54" borderId="0" xfId="0" applyFont="1" applyFill="1" applyAlignment="1" applyProtection="1">
      <alignment horizontal="center" vertical="center"/>
      <protection hidden="1"/>
    </xf>
    <xf numFmtId="0" fontId="21" fillId="54" borderId="5" xfId="0" applyFont="1" applyFill="1" applyBorder="1" applyAlignment="1" applyProtection="1">
      <alignment horizontal="center" vertical="center"/>
      <protection hidden="1"/>
    </xf>
    <xf numFmtId="0" fontId="21" fillId="54" borderId="7" xfId="0" applyFont="1" applyFill="1" applyBorder="1" applyAlignment="1" applyProtection="1">
      <alignment horizontal="center" vertical="center"/>
      <protection hidden="1"/>
    </xf>
    <xf numFmtId="0" fontId="21" fillId="54" borderId="160" xfId="0" applyFont="1" applyFill="1" applyBorder="1" applyAlignment="1" applyProtection="1">
      <alignment horizontal="center" vertical="center"/>
      <protection hidden="1"/>
    </xf>
    <xf numFmtId="0" fontId="21" fillId="54" borderId="176" xfId="0" applyFont="1" applyFill="1" applyBorder="1" applyAlignment="1" applyProtection="1">
      <alignment horizontal="center" vertical="center"/>
      <protection hidden="1"/>
    </xf>
    <xf numFmtId="0" fontId="0" fillId="0" borderId="31" xfId="0" applyBorder="1" applyProtection="1">
      <protection hidden="1"/>
    </xf>
    <xf numFmtId="0" fontId="9" fillId="0" borderId="28" xfId="0" applyFont="1" applyBorder="1" applyProtection="1">
      <protection hidden="1"/>
    </xf>
    <xf numFmtId="0" fontId="9" fillId="0" borderId="28" xfId="0" applyFont="1" applyBorder="1" applyAlignment="1" applyProtection="1">
      <alignment vertical="center"/>
      <protection hidden="1"/>
    </xf>
    <xf numFmtId="2" fontId="5" fillId="43" borderId="8" xfId="0" applyNumberFormat="1" applyFont="1" applyFill="1" applyBorder="1" applyAlignment="1" applyProtection="1">
      <alignment vertical="center"/>
      <protection hidden="1"/>
    </xf>
    <xf numFmtId="165" fontId="0" fillId="43" borderId="31" xfId="0" applyNumberFormat="1" applyFill="1" applyBorder="1" applyAlignment="1" applyProtection="1">
      <alignment vertical="center"/>
      <protection hidden="1"/>
    </xf>
    <xf numFmtId="2" fontId="5" fillId="43" borderId="21" xfId="0" applyNumberFormat="1" applyFont="1" applyFill="1" applyBorder="1" applyAlignment="1" applyProtection="1">
      <alignment vertical="center"/>
      <protection hidden="1"/>
    </xf>
    <xf numFmtId="2" fontId="5" fillId="43" borderId="21" xfId="0" applyNumberFormat="1" applyFont="1" applyFill="1" applyBorder="1" applyAlignment="1" applyProtection="1">
      <alignment horizontal="right" vertical="center"/>
      <protection hidden="1"/>
    </xf>
    <xf numFmtId="2" fontId="5" fillId="43" borderId="32" xfId="0" applyNumberFormat="1" applyFont="1" applyFill="1" applyBorder="1" applyAlignment="1" applyProtection="1">
      <alignment vertical="center"/>
      <protection hidden="1"/>
    </xf>
    <xf numFmtId="2" fontId="2" fillId="43" borderId="31" xfId="0" applyNumberFormat="1" applyFont="1" applyFill="1" applyBorder="1" applyAlignment="1" applyProtection="1">
      <alignment vertical="center"/>
      <protection hidden="1"/>
    </xf>
    <xf numFmtId="165" fontId="0" fillId="43" borderId="49" xfId="0" applyNumberFormat="1" applyFill="1" applyBorder="1" applyAlignment="1" applyProtection="1">
      <alignment vertical="center"/>
      <protection hidden="1"/>
    </xf>
    <xf numFmtId="2" fontId="5" fillId="43" borderId="187" xfId="0" applyNumberFormat="1" applyFont="1" applyFill="1" applyBorder="1" applyAlignment="1" applyProtection="1">
      <alignment vertical="center"/>
      <protection hidden="1"/>
    </xf>
    <xf numFmtId="2" fontId="5" fillId="43" borderId="186" xfId="0" applyNumberFormat="1" applyFont="1" applyFill="1" applyBorder="1" applyAlignment="1" applyProtection="1">
      <alignment vertical="center"/>
      <protection hidden="1"/>
    </xf>
    <xf numFmtId="2" fontId="1" fillId="43" borderId="32" xfId="0" applyNumberFormat="1" applyFont="1" applyFill="1" applyBorder="1" applyAlignment="1" applyProtection="1">
      <alignment vertical="center"/>
      <protection hidden="1"/>
    </xf>
    <xf numFmtId="0" fontId="11" fillId="43" borderId="13" xfId="1" applyFont="1" applyFill="1" applyBorder="1" applyAlignment="1" applyProtection="1">
      <alignment horizontal="center" vertical="center"/>
      <protection hidden="1"/>
    </xf>
    <xf numFmtId="164" fontId="11" fillId="43" borderId="13" xfId="1" applyNumberFormat="1" applyFont="1" applyFill="1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vertical="center"/>
      <protection hidden="1"/>
    </xf>
    <xf numFmtId="0" fontId="1" fillId="0" borderId="28" xfId="16" applyBorder="1" applyAlignment="1" applyProtection="1">
      <alignment horizontal="right"/>
      <protection hidden="1"/>
    </xf>
    <xf numFmtId="0" fontId="1" fillId="0" borderId="28" xfId="16" applyBorder="1" applyAlignment="1" applyProtection="1">
      <alignment horizontal="right" vertical="center"/>
      <protection hidden="1"/>
    </xf>
    <xf numFmtId="0" fontId="3" fillId="0" borderId="160" xfId="0" applyFont="1" applyBorder="1" applyProtection="1">
      <protection hidden="1"/>
    </xf>
    <xf numFmtId="0" fontId="1" fillId="0" borderId="192" xfId="0" applyFont="1" applyBorder="1" applyAlignment="1" applyProtection="1">
      <alignment horizontal="right" vertical="center"/>
      <protection hidden="1"/>
    </xf>
    <xf numFmtId="0" fontId="5" fillId="0" borderId="3" xfId="0" applyFont="1" applyBorder="1" applyAlignment="1" applyProtection="1">
      <alignment horizontal="right" vertical="center"/>
      <protection hidden="1"/>
    </xf>
    <xf numFmtId="0" fontId="1" fillId="0" borderId="16" xfId="0" applyFont="1" applyBorder="1" applyAlignment="1" applyProtection="1">
      <alignment horizontal="right" vertical="center"/>
      <protection hidden="1"/>
    </xf>
    <xf numFmtId="0" fontId="9" fillId="0" borderId="16" xfId="0" applyFont="1" applyBorder="1" applyAlignment="1" applyProtection="1">
      <alignment horizontal="right" vertical="center"/>
      <protection hidden="1"/>
    </xf>
    <xf numFmtId="2" fontId="0" fillId="0" borderId="5" xfId="0" applyNumberFormat="1" applyBorder="1" applyAlignment="1" applyProtection="1">
      <alignment horizontal="right"/>
      <protection hidden="1"/>
    </xf>
    <xf numFmtId="0" fontId="1" fillId="0" borderId="11" xfId="16" applyBorder="1" applyAlignment="1" applyProtection="1">
      <alignment horizontal="right"/>
      <protection hidden="1"/>
    </xf>
    <xf numFmtId="0" fontId="0" fillId="0" borderId="142" xfId="0" applyBorder="1" applyProtection="1">
      <protection hidden="1"/>
    </xf>
    <xf numFmtId="0" fontId="1" fillId="0" borderId="131" xfId="16" applyBorder="1" applyAlignment="1" applyProtection="1">
      <alignment horizontal="right"/>
      <protection hidden="1"/>
    </xf>
    <xf numFmtId="0" fontId="9" fillId="0" borderId="131" xfId="0" applyFont="1" applyBorder="1" applyProtection="1">
      <protection hidden="1"/>
    </xf>
    <xf numFmtId="0" fontId="3" fillId="0" borderId="131" xfId="0" applyFont="1" applyBorder="1" applyProtection="1">
      <protection hidden="1"/>
    </xf>
    <xf numFmtId="0" fontId="5" fillId="0" borderId="28" xfId="0" quotePrefix="1" applyFont="1" applyBorder="1" applyAlignment="1" applyProtection="1">
      <alignment horizontal="center" vertical="center"/>
      <protection hidden="1"/>
    </xf>
    <xf numFmtId="0" fontId="9" fillId="9" borderId="3" xfId="10" applyFont="1" applyFill="1" applyBorder="1" applyAlignment="1">
      <alignment horizontal="left" vertical="center" wrapText="1"/>
    </xf>
    <xf numFmtId="0" fontId="19" fillId="56" borderId="31" xfId="0" applyFont="1" applyFill="1" applyBorder="1" applyProtection="1">
      <protection hidden="1"/>
    </xf>
    <xf numFmtId="0" fontId="32" fillId="56" borderId="28" xfId="0" applyFont="1" applyFill="1" applyBorder="1" applyAlignment="1" applyProtection="1">
      <alignment vertical="center"/>
      <protection hidden="1"/>
    </xf>
    <xf numFmtId="0" fontId="19" fillId="56" borderId="28" xfId="0" applyFont="1" applyFill="1" applyBorder="1" applyAlignment="1" applyProtection="1">
      <alignment vertical="center"/>
      <protection hidden="1"/>
    </xf>
    <xf numFmtId="0" fontId="13" fillId="56" borderId="21" xfId="0" applyFont="1" applyFill="1" applyBorder="1" applyAlignment="1" applyProtection="1">
      <alignment horizontal="center" vertical="center"/>
      <protection hidden="1"/>
    </xf>
    <xf numFmtId="0" fontId="0" fillId="56" borderId="0" xfId="0" applyFill="1" applyProtection="1">
      <protection hidden="1"/>
    </xf>
    <xf numFmtId="0" fontId="13" fillId="56" borderId="28" xfId="0" quotePrefix="1" applyFont="1" applyFill="1" applyBorder="1" applyAlignment="1" applyProtection="1">
      <alignment vertical="center"/>
      <protection hidden="1"/>
    </xf>
    <xf numFmtId="0" fontId="19" fillId="56" borderId="22" xfId="0" applyFont="1" applyFill="1" applyBorder="1" applyAlignment="1" applyProtection="1">
      <alignment vertical="center"/>
      <protection hidden="1"/>
    </xf>
    <xf numFmtId="0" fontId="32" fillId="56" borderId="31" xfId="0" quotePrefix="1" applyFont="1" applyFill="1" applyBorder="1" applyAlignment="1" applyProtection="1">
      <alignment vertical="center"/>
      <protection hidden="1"/>
    </xf>
    <xf numFmtId="0" fontId="21" fillId="56" borderId="11" xfId="0" applyFont="1" applyFill="1" applyBorder="1" applyAlignment="1" applyProtection="1">
      <alignment horizontal="center" vertical="center"/>
      <protection hidden="1"/>
    </xf>
    <xf numFmtId="0" fontId="21" fillId="56" borderId="0" xfId="0" applyFont="1" applyFill="1" applyAlignment="1" applyProtection="1">
      <alignment horizontal="center" vertical="center"/>
      <protection hidden="1"/>
    </xf>
    <xf numFmtId="169" fontId="95" fillId="56" borderId="11" xfId="0" applyNumberFormat="1" applyFont="1" applyFill="1" applyBorder="1" applyAlignment="1" applyProtection="1">
      <alignment horizontal="left" vertical="top"/>
      <protection hidden="1"/>
    </xf>
    <xf numFmtId="0" fontId="3" fillId="56" borderId="0" xfId="0" applyFont="1" applyFill="1" applyAlignment="1" applyProtection="1">
      <alignment horizontal="center" vertical="center"/>
      <protection hidden="1"/>
    </xf>
    <xf numFmtId="0" fontId="3" fillId="56" borderId="160" xfId="0" applyFont="1" applyFill="1" applyBorder="1" applyAlignment="1" applyProtection="1">
      <alignment horizontal="center" vertical="center"/>
      <protection hidden="1"/>
    </xf>
    <xf numFmtId="169" fontId="3" fillId="56" borderId="11" xfId="0" applyNumberFormat="1" applyFont="1" applyFill="1" applyBorder="1" applyAlignment="1" applyProtection="1">
      <alignment horizontal="center"/>
      <protection hidden="1"/>
    </xf>
    <xf numFmtId="0" fontId="21" fillId="56" borderId="11" xfId="0" applyFont="1" applyFill="1" applyBorder="1" applyAlignment="1" applyProtection="1">
      <alignment horizontal="left" vertical="center"/>
      <protection hidden="1"/>
    </xf>
    <xf numFmtId="0" fontId="21" fillId="56" borderId="5" xfId="0" applyFont="1" applyFill="1" applyBorder="1" applyAlignment="1" applyProtection="1">
      <alignment horizontal="center" vertical="center"/>
      <protection hidden="1"/>
    </xf>
    <xf numFmtId="0" fontId="1" fillId="2" borderId="25" xfId="0" applyFont="1" applyFill="1" applyBorder="1" applyAlignment="1" applyProtection="1">
      <alignment vertical="center"/>
      <protection hidden="1"/>
    </xf>
    <xf numFmtId="0" fontId="1" fillId="2" borderId="23" xfId="0" applyFont="1" applyFill="1" applyBorder="1" applyAlignment="1" applyProtection="1">
      <alignment vertical="center"/>
      <protection hidden="1"/>
    </xf>
    <xf numFmtId="0" fontId="1" fillId="2" borderId="26" xfId="0" applyFont="1" applyFill="1" applyBorder="1" applyAlignment="1" applyProtection="1">
      <alignment vertical="center"/>
      <protection hidden="1"/>
    </xf>
    <xf numFmtId="0" fontId="1" fillId="2" borderId="10" xfId="0" applyFont="1" applyFill="1" applyBorder="1" applyAlignment="1" applyProtection="1">
      <alignment vertical="center"/>
      <protection hidden="1"/>
    </xf>
    <xf numFmtId="0" fontId="1" fillId="2" borderId="11" xfId="0" applyFont="1" applyFill="1" applyBorder="1" applyAlignment="1" applyProtection="1">
      <alignment vertical="center"/>
      <protection hidden="1"/>
    </xf>
    <xf numFmtId="0" fontId="1" fillId="2" borderId="9" xfId="0" applyFont="1" applyFill="1" applyBorder="1" applyAlignment="1" applyProtection="1">
      <alignment horizontal="center" vertical="center"/>
      <protection hidden="1"/>
    </xf>
    <xf numFmtId="165" fontId="1" fillId="2" borderId="10" xfId="0" applyNumberFormat="1" applyFont="1" applyFill="1" applyBorder="1" applyAlignment="1" applyProtection="1">
      <alignment vertical="center"/>
      <protection hidden="1"/>
    </xf>
    <xf numFmtId="0" fontId="2" fillId="0" borderId="48" xfId="0" applyFont="1" applyBorder="1" applyAlignment="1" applyProtection="1">
      <alignment horizontal="center" vertical="center" wrapText="1"/>
      <protection hidden="1"/>
    </xf>
    <xf numFmtId="0" fontId="0" fillId="51" borderId="0" xfId="0" applyFill="1" applyProtection="1">
      <protection hidden="1"/>
    </xf>
    <xf numFmtId="165" fontId="7" fillId="52" borderId="13" xfId="0" applyNumberFormat="1" applyFont="1" applyFill="1" applyBorder="1" applyAlignment="1" applyProtection="1">
      <alignment horizontal="center" vertical="center"/>
      <protection hidden="1"/>
    </xf>
    <xf numFmtId="0" fontId="0" fillId="57" borderId="0" xfId="0" applyFill="1" applyProtection="1">
      <protection hidden="1"/>
    </xf>
    <xf numFmtId="1" fontId="0" fillId="0" borderId="0" xfId="0" applyNumberFormat="1" applyProtection="1">
      <protection hidden="1"/>
    </xf>
    <xf numFmtId="2" fontId="2" fillId="51" borderId="13" xfId="0" applyNumberFormat="1" applyFont="1" applyFill="1" applyBorder="1" applyAlignment="1" applyProtection="1">
      <alignment vertical="center"/>
      <protection hidden="1"/>
    </xf>
    <xf numFmtId="168" fontId="3" fillId="51" borderId="13" xfId="0" applyNumberFormat="1" applyFont="1" applyFill="1" applyBorder="1" applyAlignment="1" applyProtection="1">
      <alignment vertical="center"/>
      <protection hidden="1"/>
    </xf>
    <xf numFmtId="1" fontId="2" fillId="36" borderId="18" xfId="0" applyNumberFormat="1" applyFont="1" applyFill="1" applyBorder="1" applyAlignment="1" applyProtection="1">
      <alignment horizontal="center" vertical="center"/>
      <protection hidden="1"/>
    </xf>
    <xf numFmtId="2" fontId="5" fillId="51" borderId="32" xfId="0" applyNumberFormat="1" applyFont="1" applyFill="1" applyBorder="1" applyAlignment="1" applyProtection="1">
      <alignment vertical="center"/>
      <protection hidden="1"/>
    </xf>
    <xf numFmtId="0" fontId="7" fillId="46" borderId="0" xfId="0" applyFont="1" applyFill="1" applyAlignment="1" applyProtection="1">
      <alignment horizontal="center" vertical="center"/>
      <protection hidden="1"/>
    </xf>
    <xf numFmtId="0" fontId="6" fillId="46" borderId="0" xfId="0" applyFont="1" applyFill="1" applyAlignment="1" applyProtection="1">
      <alignment horizontal="center" vertical="center"/>
      <protection hidden="1"/>
    </xf>
    <xf numFmtId="0" fontId="1" fillId="0" borderId="0" xfId="1" applyFont="1" applyAlignment="1" applyProtection="1">
      <alignment horizontal="right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2" fontId="120" fillId="6" borderId="31" xfId="0" applyNumberFormat="1" applyFont="1" applyFill="1" applyBorder="1" applyAlignment="1" applyProtection="1">
      <alignment vertical="center"/>
      <protection hidden="1"/>
    </xf>
    <xf numFmtId="0" fontId="0" fillId="51" borderId="0" xfId="0" applyFill="1" applyAlignment="1" applyProtection="1">
      <alignment horizontal="center"/>
      <protection hidden="1"/>
    </xf>
    <xf numFmtId="0" fontId="92" fillId="58" borderId="0" xfId="0" applyFont="1" applyFill="1" applyAlignment="1" applyProtection="1">
      <alignment vertical="center"/>
      <protection hidden="1"/>
    </xf>
    <xf numFmtId="0" fontId="1" fillId="51" borderId="0" xfId="0" applyFont="1" applyFill="1" applyAlignment="1" applyProtection="1">
      <alignment horizontal="center"/>
      <protection hidden="1"/>
    </xf>
    <xf numFmtId="0" fontId="1" fillId="2" borderId="28" xfId="0" applyFont="1" applyFill="1" applyBorder="1" applyAlignment="1" applyProtection="1">
      <alignment horizontal="center" vertical="center"/>
      <protection hidden="1"/>
    </xf>
    <xf numFmtId="1" fontId="99" fillId="33" borderId="28" xfId="0" applyNumberFormat="1" applyFont="1" applyFill="1" applyBorder="1" applyAlignment="1" applyProtection="1">
      <alignment horizontal="center" vertical="center"/>
      <protection hidden="1"/>
    </xf>
    <xf numFmtId="1" fontId="121" fillId="40" borderId="31" xfId="0" applyNumberFormat="1" applyFont="1" applyFill="1" applyBorder="1" applyAlignment="1" applyProtection="1">
      <alignment horizontal="center" vertical="center"/>
      <protection hidden="1"/>
    </xf>
    <xf numFmtId="0" fontId="92" fillId="33" borderId="0" xfId="0" applyFont="1" applyFill="1" applyAlignment="1" applyProtection="1">
      <alignment vertical="center"/>
      <protection hidden="1"/>
    </xf>
    <xf numFmtId="0" fontId="21" fillId="25" borderId="20" xfId="0" applyFont="1" applyFill="1" applyBorder="1" applyAlignment="1" applyProtection="1">
      <alignment horizontal="left" vertical="center"/>
      <protection hidden="1"/>
    </xf>
    <xf numFmtId="0" fontId="21" fillId="25" borderId="15" xfId="0" applyFont="1" applyFill="1" applyBorder="1" applyAlignment="1" applyProtection="1">
      <alignment horizontal="left" vertical="center"/>
      <protection hidden="1"/>
    </xf>
    <xf numFmtId="0" fontId="48" fillId="59" borderId="31" xfId="0" quotePrefix="1" applyFont="1" applyFill="1" applyBorder="1" applyAlignment="1" applyProtection="1">
      <alignment vertical="top"/>
      <protection hidden="1"/>
    </xf>
    <xf numFmtId="0" fontId="18" fillId="59" borderId="28" xfId="0" applyFont="1" applyFill="1" applyBorder="1" applyAlignment="1" applyProtection="1">
      <alignment vertical="center"/>
      <protection hidden="1"/>
    </xf>
    <xf numFmtId="0" fontId="13" fillId="59" borderId="28" xfId="0" applyFont="1" applyFill="1" applyBorder="1" applyAlignment="1" applyProtection="1">
      <alignment vertical="center"/>
      <protection hidden="1"/>
    </xf>
    <xf numFmtId="0" fontId="13" fillId="59" borderId="22" xfId="0" applyFont="1" applyFill="1" applyBorder="1" applyAlignment="1" applyProtection="1">
      <alignment vertical="center"/>
      <protection hidden="1"/>
    </xf>
    <xf numFmtId="0" fontId="48" fillId="59" borderId="0" xfId="0" quotePrefix="1" applyFont="1" applyFill="1" applyAlignment="1" applyProtection="1">
      <alignment vertical="center"/>
      <protection hidden="1"/>
    </xf>
    <xf numFmtId="0" fontId="13" fillId="59" borderId="0" xfId="16" applyFont="1" applyFill="1"/>
    <xf numFmtId="0" fontId="13" fillId="59" borderId="0" xfId="0" applyFont="1" applyFill="1" applyProtection="1">
      <protection hidden="1"/>
    </xf>
    <xf numFmtId="0" fontId="110" fillId="59" borderId="0" xfId="0" applyFont="1" applyFill="1" applyAlignment="1">
      <alignment vertical="center"/>
    </xf>
    <xf numFmtId="0" fontId="49" fillId="0" borderId="0" xfId="0" quotePrefix="1" applyFont="1" applyProtection="1">
      <protection hidden="1"/>
    </xf>
    <xf numFmtId="0" fontId="2" fillId="25" borderId="13" xfId="0" quotePrefix="1" applyFont="1" applyFill="1" applyBorder="1" applyAlignment="1" applyProtection="1">
      <alignment horizontal="center" vertical="center"/>
      <protection hidden="1"/>
    </xf>
    <xf numFmtId="0" fontId="2" fillId="25" borderId="13" xfId="0" applyFont="1" applyFill="1" applyBorder="1" applyAlignment="1" applyProtection="1">
      <alignment horizontal="center" vertical="center"/>
      <protection hidden="1"/>
    </xf>
    <xf numFmtId="0" fontId="0" fillId="25" borderId="0" xfId="0" applyFill="1" applyProtection="1">
      <protection hidden="1"/>
    </xf>
    <xf numFmtId="0" fontId="5" fillId="25" borderId="13" xfId="0" applyFont="1" applyFill="1" applyBorder="1" applyAlignment="1" applyProtection="1">
      <alignment horizontal="center" vertical="center"/>
      <protection hidden="1"/>
    </xf>
    <xf numFmtId="165" fontId="0" fillId="25" borderId="0" xfId="0" applyNumberFormat="1" applyFill="1" applyProtection="1">
      <protection hidden="1"/>
    </xf>
    <xf numFmtId="2" fontId="0" fillId="25" borderId="0" xfId="0" applyNumberFormat="1" applyFill="1" applyProtection="1">
      <protection hidden="1"/>
    </xf>
    <xf numFmtId="165" fontId="36" fillId="25" borderId="0" xfId="0" applyNumberFormat="1" applyFont="1" applyFill="1" applyProtection="1">
      <protection hidden="1"/>
    </xf>
    <xf numFmtId="2" fontId="36" fillId="25" borderId="0" xfId="0" applyNumberFormat="1" applyFont="1" applyFill="1" applyProtection="1">
      <protection hidden="1"/>
    </xf>
    <xf numFmtId="0" fontId="2" fillId="25" borderId="14" xfId="0" quotePrefix="1" applyFont="1" applyFill="1" applyBorder="1" applyAlignment="1" applyProtection="1">
      <alignment horizontal="center" vertical="center"/>
      <protection hidden="1"/>
    </xf>
    <xf numFmtId="0" fontId="2" fillId="41" borderId="18" xfId="0" applyFont="1" applyFill="1" applyBorder="1" applyAlignment="1" applyProtection="1">
      <alignment horizontal="center" vertical="center"/>
      <protection hidden="1"/>
    </xf>
    <xf numFmtId="0" fontId="95" fillId="0" borderId="0" xfId="0" applyFont="1" applyProtection="1">
      <protection hidden="1"/>
    </xf>
    <xf numFmtId="2" fontId="95" fillId="0" borderId="0" xfId="0" applyNumberFormat="1" applyFont="1" applyProtection="1">
      <protection hidden="1"/>
    </xf>
    <xf numFmtId="168" fontId="95" fillId="0" borderId="0" xfId="0" applyNumberFormat="1" applyFont="1" applyProtection="1">
      <protection hidden="1"/>
    </xf>
    <xf numFmtId="2" fontId="91" fillId="0" borderId="0" xfId="0" applyNumberFormat="1" applyFont="1" applyProtection="1">
      <protection hidden="1"/>
    </xf>
    <xf numFmtId="2" fontId="0" fillId="57" borderId="0" xfId="0" applyNumberFormat="1" applyFill="1" applyProtection="1">
      <protection hidden="1"/>
    </xf>
    <xf numFmtId="2" fontId="0" fillId="52" borderId="0" xfId="0" applyNumberFormat="1" applyFill="1" applyProtection="1">
      <protection hidden="1"/>
    </xf>
    <xf numFmtId="2" fontId="120" fillId="52" borderId="0" xfId="0" applyNumberFormat="1" applyFont="1" applyFill="1" applyProtection="1">
      <protection hidden="1"/>
    </xf>
    <xf numFmtId="2" fontId="2" fillId="0" borderId="0" xfId="0" applyNumberFormat="1" applyFont="1" applyProtection="1">
      <protection hidden="1"/>
    </xf>
    <xf numFmtId="0" fontId="3" fillId="41" borderId="0" xfId="0" applyFont="1" applyFill="1" applyProtection="1">
      <protection hidden="1"/>
    </xf>
    <xf numFmtId="0" fontId="0" fillId="41" borderId="0" xfId="0" applyFill="1" applyProtection="1">
      <protection hidden="1"/>
    </xf>
    <xf numFmtId="0" fontId="5" fillId="41" borderId="31" xfId="0" applyFont="1" applyFill="1" applyBorder="1" applyAlignment="1" applyProtection="1">
      <alignment horizontal="left" vertical="center"/>
      <protection hidden="1"/>
    </xf>
    <xf numFmtId="0" fontId="7" fillId="41" borderId="0" xfId="0" applyFont="1" applyFill="1" applyAlignment="1" applyProtection="1">
      <alignment horizontal="left"/>
      <protection hidden="1"/>
    </xf>
    <xf numFmtId="0" fontId="121" fillId="41" borderId="0" xfId="0" applyFont="1" applyFill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41" borderId="13" xfId="0" applyFont="1" applyFill="1" applyBorder="1" applyAlignment="1" applyProtection="1">
      <alignment horizontal="center"/>
      <protection hidden="1"/>
    </xf>
    <xf numFmtId="166" fontId="0" fillId="41" borderId="0" xfId="0" applyNumberFormat="1" applyFill="1" applyAlignment="1" applyProtection="1">
      <alignment horizontal="center"/>
      <protection hidden="1"/>
    </xf>
    <xf numFmtId="166" fontId="9" fillId="41" borderId="0" xfId="0" applyNumberFormat="1" applyFont="1" applyFill="1" applyProtection="1">
      <protection hidden="1"/>
    </xf>
    <xf numFmtId="166" fontId="9" fillId="41" borderId="31" xfId="0" applyNumberFormat="1" applyFont="1" applyFill="1" applyBorder="1" applyAlignment="1" applyProtection="1">
      <alignment vertical="center"/>
      <protection hidden="1"/>
    </xf>
    <xf numFmtId="0" fontId="0" fillId="43" borderId="0" xfId="0" applyFill="1" applyProtection="1">
      <protection hidden="1"/>
    </xf>
    <xf numFmtId="165" fontId="2" fillId="43" borderId="13" xfId="0" applyNumberFormat="1" applyFont="1" applyFill="1" applyBorder="1" applyAlignment="1" applyProtection="1">
      <alignment horizontal="center"/>
      <protection hidden="1"/>
    </xf>
    <xf numFmtId="1" fontId="122" fillId="0" borderId="0" xfId="0" applyNumberFormat="1" applyFont="1" applyProtection="1">
      <protection hidden="1"/>
    </xf>
    <xf numFmtId="0" fontId="13" fillId="60" borderId="6" xfId="0" applyFont="1" applyFill="1" applyBorder="1" applyAlignment="1">
      <alignment horizontal="center" vertical="center"/>
    </xf>
    <xf numFmtId="0" fontId="1" fillId="9" borderId="127" xfId="0" applyFont="1" applyFill="1" applyBorder="1" applyAlignment="1" applyProtection="1">
      <alignment horizontal="center" vertical="center"/>
      <protection hidden="1"/>
    </xf>
    <xf numFmtId="0" fontId="9" fillId="9" borderId="11" xfId="1" applyFont="1" applyFill="1" applyBorder="1" applyAlignment="1" applyProtection="1">
      <alignment horizontal="left" vertical="top" wrapText="1" indent="1"/>
      <protection hidden="1"/>
    </xf>
    <xf numFmtId="0" fontId="5" fillId="9" borderId="53" xfId="1" applyFill="1" applyBorder="1" applyAlignment="1" applyProtection="1">
      <alignment horizontal="center" vertical="center" wrapText="1"/>
      <protection hidden="1"/>
    </xf>
    <xf numFmtId="0" fontId="9" fillId="9" borderId="3" xfId="1" applyFont="1" applyFill="1" applyBorder="1" applyAlignment="1" applyProtection="1">
      <alignment horizontal="left" vertical="top" wrapText="1" indent="1"/>
      <protection hidden="1"/>
    </xf>
    <xf numFmtId="0" fontId="9" fillId="9" borderId="121" xfId="1" applyFont="1" applyFill="1" applyBorder="1" applyAlignment="1" applyProtection="1">
      <alignment horizontal="center" vertical="top"/>
      <protection hidden="1"/>
    </xf>
    <xf numFmtId="2" fontId="1" fillId="9" borderId="28" xfId="16" applyNumberFormat="1" applyFill="1" applyBorder="1" applyAlignment="1" applyProtection="1">
      <alignment horizontal="center" vertical="center"/>
      <protection hidden="1"/>
    </xf>
    <xf numFmtId="164" fontId="5" fillId="43" borderId="31" xfId="0" applyNumberFormat="1" applyFont="1" applyFill="1" applyBorder="1" applyAlignment="1" applyProtection="1">
      <alignment vertical="center"/>
      <protection hidden="1"/>
    </xf>
    <xf numFmtId="0" fontId="5" fillId="9" borderId="198" xfId="0" applyFont="1" applyFill="1" applyBorder="1" applyAlignment="1" applyProtection="1">
      <alignment horizontal="center" vertical="center"/>
      <protection hidden="1"/>
    </xf>
    <xf numFmtId="0" fontId="5" fillId="9" borderId="199" xfId="0" applyFont="1" applyFill="1" applyBorder="1" applyAlignment="1" applyProtection="1">
      <alignment horizontal="center" vertical="center"/>
      <protection hidden="1"/>
    </xf>
    <xf numFmtId="2" fontId="5" fillId="43" borderId="198" xfId="0" applyNumberFormat="1" applyFont="1" applyFill="1" applyBorder="1" applyAlignment="1" applyProtection="1">
      <alignment vertical="center"/>
      <protection hidden="1"/>
    </xf>
    <xf numFmtId="2" fontId="5" fillId="43" borderId="199" xfId="0" applyNumberFormat="1" applyFont="1" applyFill="1" applyBorder="1" applyAlignment="1" applyProtection="1">
      <alignment vertical="center"/>
      <protection hidden="1"/>
    </xf>
    <xf numFmtId="0" fontId="5" fillId="9" borderId="193" xfId="0" applyFont="1" applyFill="1" applyBorder="1" applyAlignment="1" applyProtection="1">
      <alignment horizontal="center" vertical="center"/>
      <protection hidden="1"/>
    </xf>
    <xf numFmtId="2" fontId="5" fillId="43" borderId="201" xfId="0" applyNumberFormat="1" applyFont="1" applyFill="1" applyBorder="1" applyAlignment="1" applyProtection="1">
      <alignment vertical="center"/>
      <protection hidden="1"/>
    </xf>
    <xf numFmtId="0" fontId="1" fillId="9" borderId="126" xfId="0" applyFont="1" applyFill="1" applyBorder="1" applyAlignment="1" applyProtection="1">
      <alignment horizontal="center" vertical="center"/>
      <protection hidden="1"/>
    </xf>
    <xf numFmtId="0" fontId="1" fillId="9" borderId="39" xfId="0" applyFont="1" applyFill="1" applyBorder="1" applyAlignment="1" applyProtection="1">
      <alignment horizontal="center" vertical="center"/>
      <protection hidden="1"/>
    </xf>
    <xf numFmtId="0" fontId="1" fillId="9" borderId="53" xfId="0" applyFont="1" applyFill="1" applyBorder="1" applyAlignment="1" applyProtection="1">
      <alignment horizontal="center" vertical="center"/>
      <protection hidden="1"/>
    </xf>
    <xf numFmtId="0" fontId="1" fillId="9" borderId="13" xfId="0" applyFont="1" applyFill="1" applyBorder="1" applyAlignment="1" applyProtection="1">
      <alignment horizontal="center"/>
      <protection hidden="1"/>
    </xf>
    <xf numFmtId="0" fontId="9" fillId="9" borderId="13" xfId="0" applyFont="1" applyFill="1" applyBorder="1" applyAlignment="1" applyProtection="1">
      <alignment horizontal="center"/>
      <protection hidden="1"/>
    </xf>
    <xf numFmtId="0" fontId="11" fillId="9" borderId="196" xfId="0" applyFont="1" applyFill="1" applyBorder="1" applyAlignment="1" applyProtection="1">
      <alignment horizontal="center"/>
      <protection hidden="1"/>
    </xf>
    <xf numFmtId="0" fontId="11" fillId="9" borderId="197" xfId="0" applyFont="1" applyFill="1" applyBorder="1" applyAlignment="1" applyProtection="1">
      <alignment horizontal="center"/>
      <protection hidden="1"/>
    </xf>
    <xf numFmtId="0" fontId="11" fillId="9" borderId="200" xfId="0" applyFont="1" applyFill="1" applyBorder="1" applyAlignment="1" applyProtection="1">
      <alignment horizontal="center" vertical="center"/>
      <protection hidden="1"/>
    </xf>
    <xf numFmtId="0" fontId="11" fillId="9" borderId="127" xfId="0" applyFont="1" applyFill="1" applyBorder="1" applyAlignment="1" applyProtection="1">
      <alignment horizontal="center" vertical="center"/>
      <protection hidden="1"/>
    </xf>
    <xf numFmtId="0" fontId="1" fillId="9" borderId="48" xfId="0" applyFont="1" applyFill="1" applyBorder="1" applyAlignment="1" applyProtection="1">
      <alignment horizontal="center" vertical="center" wrapText="1"/>
      <protection hidden="1"/>
    </xf>
    <xf numFmtId="0" fontId="1" fillId="9" borderId="124" xfId="0" applyFont="1" applyFill="1" applyBorder="1" applyAlignment="1" applyProtection="1">
      <alignment horizontal="center" vertical="center" wrapText="1"/>
      <protection hidden="1"/>
    </xf>
    <xf numFmtId="0" fontId="9" fillId="9" borderId="1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 applyProtection="1">
      <alignment horizontal="right" vertical="center"/>
      <protection hidden="1"/>
    </xf>
    <xf numFmtId="165" fontId="11" fillId="9" borderId="39" xfId="0" applyNumberFormat="1" applyFont="1" applyFill="1" applyBorder="1" applyAlignment="1" applyProtection="1">
      <alignment horizontal="center" vertical="center"/>
      <protection hidden="1"/>
    </xf>
    <xf numFmtId="0" fontId="11" fillId="9" borderId="4" xfId="0" applyFont="1" applyFill="1" applyBorder="1" applyAlignment="1" applyProtection="1">
      <alignment horizontal="center" vertical="center"/>
      <protection hidden="1"/>
    </xf>
    <xf numFmtId="0" fontId="11" fillId="9" borderId="124" xfId="0" applyFont="1" applyFill="1" applyBorder="1" applyAlignment="1" applyProtection="1">
      <alignment horizontal="center" vertical="center"/>
      <protection hidden="1"/>
    </xf>
    <xf numFmtId="0" fontId="1" fillId="0" borderId="149" xfId="0" applyFont="1" applyBorder="1" applyAlignment="1" applyProtection="1">
      <alignment horizontal="right" vertical="center"/>
      <protection hidden="1"/>
    </xf>
    <xf numFmtId="0" fontId="1" fillId="9" borderId="139" xfId="0" applyFont="1" applyFill="1" applyBorder="1" applyAlignment="1" applyProtection="1">
      <alignment horizontal="center" vertical="center"/>
      <protection hidden="1"/>
    </xf>
    <xf numFmtId="12" fontId="2" fillId="27" borderId="49" xfId="0" applyNumberFormat="1" applyFont="1" applyFill="1" applyBorder="1" applyAlignment="1" applyProtection="1">
      <alignment horizontal="center" vertical="center"/>
      <protection hidden="1"/>
    </xf>
    <xf numFmtId="0" fontId="3" fillId="0" borderId="22" xfId="0" applyFont="1" applyBorder="1" applyAlignment="1" applyProtection="1">
      <alignment horizontal="right"/>
      <protection hidden="1"/>
    </xf>
    <xf numFmtId="165" fontId="11" fillId="9" borderId="125" xfId="0" applyNumberFormat="1" applyFont="1" applyFill="1" applyBorder="1" applyAlignment="1" applyProtection="1">
      <alignment horizontal="left" vertical="center"/>
      <protection hidden="1"/>
    </xf>
    <xf numFmtId="165" fontId="11" fillId="9" borderId="125" xfId="0" applyNumberFormat="1" applyFont="1" applyFill="1" applyBorder="1" applyAlignment="1" applyProtection="1">
      <alignment horizontal="right" vertical="center"/>
      <protection hidden="1"/>
    </xf>
    <xf numFmtId="2" fontId="9" fillId="0" borderId="11" xfId="0" applyNumberFormat="1" applyFont="1" applyBorder="1" applyProtection="1">
      <protection hidden="1"/>
    </xf>
    <xf numFmtId="0" fontId="96" fillId="9" borderId="141" xfId="0" applyFont="1" applyFill="1" applyBorder="1" applyAlignment="1" applyProtection="1">
      <alignment horizontal="center" vertical="center"/>
      <protection hidden="1"/>
    </xf>
    <xf numFmtId="0" fontId="1" fillId="0" borderId="0" xfId="16" quotePrefix="1" applyAlignment="1" applyProtection="1">
      <alignment horizontal="left" vertical="center"/>
      <protection hidden="1"/>
    </xf>
    <xf numFmtId="0" fontId="93" fillId="0" borderId="0" xfId="0" applyFont="1" applyProtection="1">
      <protection hidden="1"/>
    </xf>
    <xf numFmtId="2" fontId="5" fillId="0" borderId="0" xfId="0" applyNumberFormat="1" applyFont="1" applyAlignment="1" applyProtection="1">
      <alignment horizontal="right"/>
      <protection hidden="1"/>
    </xf>
    <xf numFmtId="4" fontId="0" fillId="43" borderId="49" xfId="0" applyNumberFormat="1" applyFill="1" applyBorder="1" applyAlignment="1" applyProtection="1">
      <alignment vertical="center"/>
      <protection hidden="1"/>
    </xf>
    <xf numFmtId="0" fontId="7" fillId="60" borderId="23" xfId="0" applyFont="1" applyFill="1" applyBorder="1" applyAlignment="1" applyProtection="1">
      <alignment horizontal="center" vertical="center"/>
      <protection hidden="1"/>
    </xf>
    <xf numFmtId="0" fontId="3" fillId="60" borderId="23" xfId="0" applyFont="1" applyFill="1" applyBorder="1" applyAlignment="1" applyProtection="1">
      <alignment horizontal="center" vertical="center"/>
      <protection hidden="1"/>
    </xf>
    <xf numFmtId="0" fontId="85" fillId="60" borderId="43" xfId="0" applyFont="1" applyFill="1" applyBorder="1" applyAlignment="1" applyProtection="1">
      <alignment horizontal="center"/>
      <protection hidden="1"/>
    </xf>
    <xf numFmtId="0" fontId="32" fillId="60" borderId="43" xfId="0" applyFont="1" applyFill="1" applyBorder="1" applyAlignment="1" applyProtection="1">
      <alignment horizontal="center" vertical="center"/>
      <protection hidden="1"/>
    </xf>
    <xf numFmtId="0" fontId="3" fillId="60" borderId="160" xfId="0" applyFont="1" applyFill="1" applyBorder="1" applyAlignment="1" applyProtection="1">
      <alignment horizontal="center" vertical="center"/>
      <protection hidden="1"/>
    </xf>
    <xf numFmtId="0" fontId="13" fillId="60" borderId="43" xfId="0" applyFont="1" applyFill="1" applyBorder="1" applyAlignment="1" applyProtection="1">
      <alignment horizontal="center" vertical="center"/>
      <protection hidden="1"/>
    </xf>
    <xf numFmtId="0" fontId="13" fillId="60" borderId="2" xfId="0" applyFont="1" applyFill="1" applyBorder="1" applyAlignment="1" applyProtection="1">
      <alignment horizontal="center" vertical="center"/>
      <protection hidden="1"/>
    </xf>
    <xf numFmtId="0" fontId="13" fillId="60" borderId="4" xfId="0" applyFont="1" applyFill="1" applyBorder="1" applyAlignment="1" applyProtection="1">
      <alignment horizontal="center" vertical="center"/>
      <protection hidden="1"/>
    </xf>
    <xf numFmtId="0" fontId="13" fillId="60" borderId="127" xfId="0" applyFont="1" applyFill="1" applyBorder="1" applyAlignment="1" applyProtection="1">
      <alignment horizontal="center" vertical="center"/>
      <protection hidden="1"/>
    </xf>
    <xf numFmtId="0" fontId="119" fillId="60" borderId="38" xfId="0" applyFont="1" applyFill="1" applyBorder="1" applyAlignment="1" applyProtection="1">
      <alignment horizontal="center" vertical="center"/>
      <protection hidden="1"/>
    </xf>
    <xf numFmtId="0" fontId="119" fillId="60" borderId="53" xfId="0" applyFont="1" applyFill="1" applyBorder="1" applyAlignment="1" applyProtection="1">
      <alignment horizontal="center" vertical="center"/>
      <protection hidden="1"/>
    </xf>
    <xf numFmtId="1" fontId="7" fillId="60" borderId="130" xfId="0" applyNumberFormat="1" applyFont="1" applyFill="1" applyBorder="1" applyAlignment="1" applyProtection="1">
      <alignment horizontal="center" vertical="center" wrapText="1"/>
      <protection hidden="1"/>
    </xf>
    <xf numFmtId="0" fontId="9" fillId="60" borderId="130" xfId="0" applyFont="1" applyFill="1" applyBorder="1" applyAlignment="1" applyProtection="1">
      <alignment horizontal="center" vertical="center" wrapText="1"/>
      <protection hidden="1"/>
    </xf>
    <xf numFmtId="0" fontId="13" fillId="60" borderId="53" xfId="0" applyFont="1" applyFill="1" applyBorder="1" applyAlignment="1" applyProtection="1">
      <alignment horizontal="center" vertical="center" wrapText="1"/>
      <protection hidden="1"/>
    </xf>
    <xf numFmtId="0" fontId="13" fillId="60" borderId="53" xfId="0" applyFont="1" applyFill="1" applyBorder="1" applyAlignment="1" applyProtection="1">
      <alignment horizontal="center" vertical="center"/>
      <protection hidden="1"/>
    </xf>
    <xf numFmtId="0" fontId="9" fillId="60" borderId="4" xfId="0" applyFont="1" applyFill="1" applyBorder="1" applyAlignment="1" applyProtection="1">
      <alignment horizontal="center" vertical="center"/>
      <protection hidden="1"/>
    </xf>
    <xf numFmtId="0" fontId="13" fillId="60" borderId="37" xfId="0" applyFont="1" applyFill="1" applyBorder="1" applyAlignment="1" applyProtection="1">
      <alignment horizontal="center" vertical="center"/>
      <protection hidden="1"/>
    </xf>
    <xf numFmtId="0" fontId="117" fillId="60" borderId="6" xfId="0" applyFont="1" applyFill="1" applyBorder="1" applyAlignment="1" applyProtection="1">
      <alignment horizontal="center" vertical="center"/>
      <protection hidden="1"/>
    </xf>
    <xf numFmtId="0" fontId="13" fillId="60" borderId="6" xfId="0" applyFont="1" applyFill="1" applyBorder="1" applyAlignment="1" applyProtection="1">
      <alignment horizontal="center" vertical="center"/>
      <protection hidden="1"/>
    </xf>
    <xf numFmtId="0" fontId="9" fillId="60" borderId="130" xfId="0" applyFont="1" applyFill="1" applyBorder="1" applyAlignment="1" applyProtection="1">
      <alignment horizontal="center" vertical="center"/>
      <protection hidden="1"/>
    </xf>
    <xf numFmtId="0" fontId="9" fillId="60" borderId="35" xfId="0" applyFont="1" applyFill="1" applyBorder="1" applyAlignment="1" applyProtection="1">
      <alignment horizontal="center" vertical="center"/>
      <protection hidden="1"/>
    </xf>
    <xf numFmtId="0" fontId="13" fillId="60" borderId="194" xfId="0" applyFont="1" applyFill="1" applyBorder="1" applyAlignment="1" applyProtection="1">
      <alignment horizontal="center" vertical="center"/>
      <protection hidden="1"/>
    </xf>
    <xf numFmtId="0" fontId="13" fillId="60" borderId="195" xfId="0" applyFont="1" applyFill="1" applyBorder="1" applyAlignment="1" applyProtection="1">
      <alignment horizontal="center" vertical="center"/>
      <protection hidden="1"/>
    </xf>
    <xf numFmtId="0" fontId="13" fillId="60" borderId="200" xfId="0" applyFont="1" applyFill="1" applyBorder="1" applyAlignment="1" applyProtection="1">
      <alignment horizontal="center" vertical="center"/>
      <protection hidden="1"/>
    </xf>
    <xf numFmtId="0" fontId="9" fillId="9" borderId="14" xfId="0" applyFont="1" applyFill="1" applyBorder="1" applyAlignment="1" applyProtection="1">
      <alignment horizontal="center" vertical="top"/>
      <protection hidden="1"/>
    </xf>
    <xf numFmtId="0" fontId="5" fillId="9" borderId="42" xfId="0" applyFont="1" applyFill="1" applyBorder="1" applyAlignment="1" applyProtection="1">
      <alignment horizontal="center" vertical="center"/>
      <protection hidden="1"/>
    </xf>
    <xf numFmtId="0" fontId="1" fillId="9" borderId="126" xfId="0" applyFont="1" applyFill="1" applyBorder="1" applyAlignment="1" applyProtection="1">
      <alignment horizontal="center" vertical="center" wrapText="1"/>
      <protection hidden="1"/>
    </xf>
    <xf numFmtId="0" fontId="21" fillId="60" borderId="35" xfId="0" applyFont="1" applyFill="1" applyBorder="1" applyAlignment="1" applyProtection="1">
      <alignment horizontal="left" vertical="center"/>
      <protection hidden="1"/>
    </xf>
    <xf numFmtId="0" fontId="127" fillId="0" borderId="0" xfId="16" applyFont="1" applyProtection="1">
      <protection hidden="1"/>
    </xf>
    <xf numFmtId="168" fontId="3" fillId="61" borderId="0" xfId="0" applyNumberFormat="1" applyFont="1" applyFill="1" applyProtection="1">
      <protection hidden="1"/>
    </xf>
    <xf numFmtId="4" fontId="3" fillId="0" borderId="0" xfId="0" applyNumberFormat="1" applyFont="1" applyAlignment="1" applyProtection="1">
      <alignment horizontal="center" vertical="center"/>
      <protection hidden="1"/>
    </xf>
    <xf numFmtId="1" fontId="9" fillId="6" borderId="13" xfId="0" applyNumberFormat="1" applyFont="1" applyFill="1" applyBorder="1" applyAlignment="1" applyProtection="1">
      <alignment horizontal="right" vertical="center"/>
      <protection hidden="1"/>
    </xf>
    <xf numFmtId="165" fontId="5" fillId="61" borderId="31" xfId="0" applyNumberFormat="1" applyFont="1" applyFill="1" applyBorder="1" applyAlignment="1" applyProtection="1">
      <alignment vertical="center"/>
      <protection hidden="1"/>
    </xf>
    <xf numFmtId="0" fontId="0" fillId="61" borderId="0" xfId="0" applyFill="1" applyProtection="1">
      <protection hidden="1"/>
    </xf>
    <xf numFmtId="1" fontId="2" fillId="61" borderId="13" xfId="0" applyNumberFormat="1" applyFont="1" applyFill="1" applyBorder="1" applyAlignment="1" applyProtection="1">
      <alignment horizontal="center" vertical="center"/>
      <protection hidden="1"/>
    </xf>
    <xf numFmtId="1" fontId="6" fillId="61" borderId="13" xfId="0" applyNumberFormat="1" applyFont="1" applyFill="1" applyBorder="1" applyAlignment="1" applyProtection="1">
      <alignment horizontal="left" vertical="center"/>
      <protection hidden="1"/>
    </xf>
    <xf numFmtId="166" fontId="2" fillId="61" borderId="13" xfId="0" applyNumberFormat="1" applyFont="1" applyFill="1" applyBorder="1" applyAlignment="1" applyProtection="1">
      <alignment horizontal="center" vertical="center"/>
      <protection hidden="1"/>
    </xf>
    <xf numFmtId="0" fontId="2" fillId="61" borderId="3" xfId="0" applyFont="1" applyFill="1" applyBorder="1" applyAlignment="1" applyProtection="1">
      <alignment horizontal="center"/>
      <protection hidden="1"/>
    </xf>
    <xf numFmtId="0" fontId="3" fillId="61" borderId="0" xfId="0" applyFont="1" applyFill="1" applyProtection="1">
      <protection hidden="1"/>
    </xf>
    <xf numFmtId="1" fontId="5" fillId="61" borderId="0" xfId="0" applyNumberFormat="1" applyFont="1" applyFill="1" applyAlignment="1" applyProtection="1">
      <alignment horizontal="center"/>
      <protection hidden="1"/>
    </xf>
    <xf numFmtId="0" fontId="1" fillId="61" borderId="0" xfId="0" applyFont="1" applyFill="1" applyProtection="1">
      <protection hidden="1"/>
    </xf>
    <xf numFmtId="0" fontId="0" fillId="61" borderId="0" xfId="0" applyFill="1" applyAlignment="1" applyProtection="1">
      <alignment horizontal="center" vertical="center"/>
      <protection hidden="1"/>
    </xf>
    <xf numFmtId="2" fontId="0" fillId="61" borderId="0" xfId="0" applyNumberFormat="1" applyFill="1" applyAlignment="1" applyProtection="1">
      <alignment horizontal="center"/>
      <protection hidden="1"/>
    </xf>
    <xf numFmtId="49" fontId="2" fillId="9" borderId="51" xfId="16" applyNumberFormat="1" applyFont="1" applyFill="1" applyBorder="1" applyAlignment="1">
      <alignment horizontal="center" vertical="center"/>
    </xf>
    <xf numFmtId="0" fontId="7" fillId="9" borderId="8" xfId="16" applyFont="1" applyFill="1" applyBorder="1" applyAlignment="1">
      <alignment horizontal="center" vertical="center"/>
    </xf>
    <xf numFmtId="0" fontId="7" fillId="9" borderId="5" xfId="16" applyFont="1" applyFill="1" applyBorder="1" applyAlignment="1">
      <alignment horizontal="center" vertical="center"/>
    </xf>
    <xf numFmtId="1" fontId="0" fillId="61" borderId="13" xfId="0" applyNumberFormat="1" applyFill="1" applyBorder="1" applyAlignment="1" applyProtection="1">
      <alignment horizontal="center" vertical="center"/>
      <protection hidden="1"/>
    </xf>
    <xf numFmtId="1" fontId="0" fillId="62" borderId="13" xfId="0" applyNumberFormat="1" applyFill="1" applyBorder="1" applyAlignment="1" applyProtection="1">
      <alignment horizontal="center" vertical="center"/>
      <protection hidden="1"/>
    </xf>
    <xf numFmtId="0" fontId="98" fillId="28" borderId="0" xfId="0" applyFont="1" applyFill="1" applyProtection="1">
      <protection hidden="1"/>
    </xf>
    <xf numFmtId="1" fontId="3" fillId="0" borderId="0" xfId="0" applyNumberFormat="1" applyFont="1" applyAlignment="1" applyProtection="1">
      <alignment horizontal="center"/>
      <protection hidden="1"/>
    </xf>
    <xf numFmtId="165" fontId="2" fillId="61" borderId="12" xfId="0" applyNumberFormat="1" applyFont="1" applyFill="1" applyBorder="1" applyAlignment="1" applyProtection="1">
      <alignment vertical="center"/>
      <protection hidden="1"/>
    </xf>
    <xf numFmtId="0" fontId="2" fillId="61" borderId="0" xfId="0" applyFont="1" applyFill="1" applyAlignment="1" applyProtection="1">
      <alignment horizontal="center" vertical="center"/>
      <protection hidden="1"/>
    </xf>
    <xf numFmtId="1" fontId="7" fillId="61" borderId="13" xfId="0" applyNumberFormat="1" applyFont="1" applyFill="1" applyBorder="1" applyAlignment="1" applyProtection="1">
      <alignment horizontal="center" vertical="center"/>
      <protection hidden="1"/>
    </xf>
    <xf numFmtId="2" fontId="5" fillId="61" borderId="14" xfId="0" applyNumberFormat="1" applyFont="1" applyFill="1" applyBorder="1" applyAlignment="1" applyProtection="1">
      <alignment vertical="center"/>
      <protection hidden="1"/>
    </xf>
    <xf numFmtId="167" fontId="6" fillId="61" borderId="14" xfId="0" applyNumberFormat="1" applyFont="1" applyFill="1" applyBorder="1" applyAlignment="1" applyProtection="1">
      <alignment horizontal="center" vertical="center"/>
      <protection hidden="1"/>
    </xf>
    <xf numFmtId="0" fontId="9" fillId="61" borderId="202" xfId="0" applyFont="1" applyFill="1" applyBorder="1" applyProtection="1">
      <protection hidden="1"/>
    </xf>
    <xf numFmtId="2" fontId="7" fillId="61" borderId="13" xfId="0" applyNumberFormat="1" applyFont="1" applyFill="1" applyBorder="1" applyAlignment="1" applyProtection="1">
      <alignment horizontal="center" vertical="center"/>
      <protection hidden="1"/>
    </xf>
    <xf numFmtId="0" fontId="2" fillId="61" borderId="203" xfId="0" applyFont="1" applyFill="1" applyBorder="1" applyProtection="1">
      <protection hidden="1"/>
    </xf>
    <xf numFmtId="0" fontId="113" fillId="33" borderId="0" xfId="0" applyFont="1" applyFill="1" applyAlignment="1" applyProtection="1">
      <alignment horizontal="center"/>
      <protection hidden="1"/>
    </xf>
    <xf numFmtId="0" fontId="3" fillId="61" borderId="0" xfId="0" applyFont="1" applyFill="1" applyAlignment="1" applyProtection="1">
      <alignment horizontal="center"/>
      <protection hidden="1"/>
    </xf>
    <xf numFmtId="0" fontId="130" fillId="33" borderId="0" xfId="0" applyFont="1" applyFill="1" applyAlignment="1" applyProtection="1">
      <alignment horizontal="center"/>
      <protection hidden="1"/>
    </xf>
    <xf numFmtId="168" fontId="3" fillId="61" borderId="13" xfId="0" applyNumberFormat="1" applyFont="1" applyFill="1" applyBorder="1" applyAlignment="1" applyProtection="1">
      <alignment vertical="center"/>
      <protection hidden="1"/>
    </xf>
    <xf numFmtId="4" fontId="5" fillId="43" borderId="14" xfId="0" applyNumberFormat="1" applyFont="1" applyFill="1" applyBorder="1" applyAlignment="1" applyProtection="1">
      <alignment vertical="center"/>
      <protection hidden="1"/>
    </xf>
    <xf numFmtId="2" fontId="2" fillId="43" borderId="49" xfId="0" applyNumberFormat="1" applyFont="1" applyFill="1" applyBorder="1" applyAlignment="1" applyProtection="1">
      <alignment vertical="center"/>
      <protection hidden="1"/>
    </xf>
    <xf numFmtId="0" fontId="9" fillId="63" borderId="121" xfId="0" applyFont="1" applyFill="1" applyBorder="1" applyAlignment="1" applyProtection="1">
      <alignment horizontal="center" vertical="top"/>
      <protection hidden="1"/>
    </xf>
    <xf numFmtId="2" fontId="5" fillId="63" borderId="21" xfId="0" applyNumberFormat="1" applyFont="1" applyFill="1" applyBorder="1" applyAlignment="1" applyProtection="1">
      <alignment vertical="center"/>
      <protection hidden="1"/>
    </xf>
    <xf numFmtId="0" fontId="1" fillId="9" borderId="15" xfId="1" applyFont="1" applyFill="1" applyBorder="1" applyAlignment="1" applyProtection="1">
      <alignment vertical="center"/>
      <protection hidden="1"/>
    </xf>
    <xf numFmtId="1" fontId="1" fillId="9" borderId="16" xfId="1" applyNumberFormat="1" applyFont="1" applyFill="1" applyBorder="1" applyAlignment="1" applyProtection="1">
      <alignment vertical="center"/>
      <protection hidden="1"/>
    </xf>
    <xf numFmtId="0" fontId="9" fillId="42" borderId="0" xfId="16" applyFont="1" applyFill="1" applyProtection="1">
      <protection hidden="1"/>
    </xf>
    <xf numFmtId="2" fontId="1" fillId="41" borderId="0" xfId="16" applyNumberFormat="1" applyFill="1"/>
    <xf numFmtId="165" fontId="3" fillId="64" borderId="0" xfId="16" applyNumberFormat="1" applyFont="1" applyFill="1" applyProtection="1">
      <protection hidden="1"/>
    </xf>
    <xf numFmtId="165" fontId="1" fillId="0" borderId="0" xfId="16" applyNumberFormat="1"/>
    <xf numFmtId="0" fontId="1" fillId="42" borderId="0" xfId="16" applyFill="1" applyProtection="1">
      <protection hidden="1"/>
    </xf>
    <xf numFmtId="165" fontId="1" fillId="42" borderId="0" xfId="16" applyNumberFormat="1" applyFill="1" applyProtection="1">
      <protection hidden="1"/>
    </xf>
    <xf numFmtId="174" fontId="11" fillId="9" borderId="138" xfId="0" applyNumberFormat="1" applyFont="1" applyFill="1" applyBorder="1" applyAlignment="1" applyProtection="1">
      <alignment horizontal="left" vertical="center"/>
      <protection hidden="1"/>
    </xf>
    <xf numFmtId="2" fontId="7" fillId="43" borderId="144" xfId="0" applyNumberFormat="1" applyFont="1" applyFill="1" applyBorder="1" applyAlignment="1" applyProtection="1">
      <alignment horizontal="center" vertical="center"/>
      <protection hidden="1"/>
    </xf>
    <xf numFmtId="2" fontId="7" fillId="43" borderId="28" xfId="0" applyNumberFormat="1" applyFont="1" applyFill="1" applyBorder="1" applyAlignment="1" applyProtection="1">
      <alignment horizontal="center" vertical="center"/>
      <protection hidden="1"/>
    </xf>
    <xf numFmtId="0" fontId="9" fillId="43" borderId="22" xfId="0" applyFont="1" applyFill="1" applyBorder="1" applyAlignment="1">
      <alignment horizontal="center"/>
    </xf>
    <xf numFmtId="0" fontId="5" fillId="9" borderId="11" xfId="0" applyFont="1" applyFill="1" applyBorder="1" applyAlignment="1" applyProtection="1">
      <alignment horizontal="center" vertical="center"/>
      <protection hidden="1"/>
    </xf>
    <xf numFmtId="0" fontId="5" fillId="9" borderId="5" xfId="0" applyFont="1" applyFill="1" applyBorder="1" applyAlignment="1" applyProtection="1">
      <alignment horizontal="center" vertical="center"/>
      <protection hidden="1"/>
    </xf>
    <xf numFmtId="0" fontId="9" fillId="43" borderId="28" xfId="0" applyFont="1" applyFill="1" applyBorder="1" applyAlignment="1">
      <alignment horizontal="center"/>
    </xf>
    <xf numFmtId="0" fontId="2" fillId="0" borderId="172" xfId="0" applyFont="1" applyBorder="1" applyAlignment="1" applyProtection="1">
      <alignment horizontal="center" vertical="center"/>
      <protection hidden="1"/>
    </xf>
    <xf numFmtId="0" fontId="0" fillId="0" borderId="185" xfId="0" applyBorder="1"/>
    <xf numFmtId="0" fontId="0" fillId="0" borderId="173" xfId="0" applyBorder="1"/>
    <xf numFmtId="173" fontId="3" fillId="47" borderId="31" xfId="18" applyNumberFormat="1" applyFont="1" applyFill="1" applyBorder="1" applyAlignment="1" applyProtection="1">
      <alignment horizontal="center" vertical="center"/>
      <protection locked="0"/>
    </xf>
    <xf numFmtId="0" fontId="3" fillId="47" borderId="22" xfId="0" applyFont="1" applyFill="1" applyBorder="1" applyProtection="1">
      <protection locked="0"/>
    </xf>
    <xf numFmtId="9" fontId="9" fillId="47" borderId="142" xfId="0" applyNumberFormat="1" applyFont="1" applyFill="1" applyBorder="1" applyAlignment="1" applyProtection="1">
      <alignment horizontal="center" vertical="center"/>
      <protection locked="0"/>
    </xf>
    <xf numFmtId="0" fontId="0" fillId="47" borderId="134" xfId="0" applyFill="1" applyBorder="1" applyAlignment="1" applyProtection="1">
      <alignment horizontal="center" vertical="center"/>
      <protection locked="0"/>
    </xf>
    <xf numFmtId="0" fontId="7" fillId="0" borderId="172" xfId="0" applyFont="1" applyBorder="1" applyAlignment="1" applyProtection="1">
      <alignment horizontal="center" vertical="center"/>
      <protection hidden="1"/>
    </xf>
    <xf numFmtId="0" fontId="0" fillId="0" borderId="173" xfId="0" applyBorder="1" applyAlignment="1">
      <alignment horizontal="center" vertical="center"/>
    </xf>
    <xf numFmtId="0" fontId="5" fillId="9" borderId="17" xfId="0" applyFont="1" applyFill="1" applyBorder="1" applyAlignment="1" applyProtection="1">
      <alignment horizontal="center" vertical="center"/>
      <protection hidden="1"/>
    </xf>
    <xf numFmtId="0" fontId="32" fillId="60" borderId="15" xfId="0" applyFont="1" applyFill="1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horizontal="center" vertical="center"/>
      <protection hidden="1"/>
    </xf>
    <xf numFmtId="0" fontId="0" fillId="0" borderId="58" xfId="0" applyBorder="1" applyAlignment="1" applyProtection="1">
      <alignment horizontal="center" vertical="center"/>
      <protection hidden="1"/>
    </xf>
    <xf numFmtId="0" fontId="9" fillId="9" borderId="39" xfId="0" applyFont="1" applyFill="1" applyBorder="1" applyAlignment="1" applyProtection="1">
      <alignment horizontal="right" vertical="center"/>
      <protection hidden="1"/>
    </xf>
    <xf numFmtId="0" fontId="0" fillId="0" borderId="125" xfId="0" applyBorder="1" applyAlignment="1" applyProtection="1">
      <alignment horizontal="right" vertical="center"/>
      <protection hidden="1"/>
    </xf>
    <xf numFmtId="0" fontId="32" fillId="60" borderId="23" xfId="0" applyFont="1" applyFill="1" applyBorder="1" applyAlignment="1" applyProtection="1">
      <alignment horizontal="center" vertical="center"/>
      <protection hidden="1"/>
    </xf>
    <xf numFmtId="0" fontId="32" fillId="60" borderId="58" xfId="0" applyFont="1" applyFill="1" applyBorder="1" applyAlignment="1" applyProtection="1">
      <alignment horizontal="center" vertical="center"/>
      <protection hidden="1"/>
    </xf>
    <xf numFmtId="0" fontId="13" fillId="60" borderId="36" xfId="0" applyFont="1" applyFill="1" applyBorder="1" applyAlignment="1" applyProtection="1">
      <alignment horizontal="center" vertical="center"/>
      <protection hidden="1"/>
    </xf>
    <xf numFmtId="0" fontId="13" fillId="60" borderId="130" xfId="0" applyFont="1" applyFill="1" applyBorder="1" applyAlignment="1" applyProtection="1">
      <alignment horizontal="center" vertical="center"/>
      <protection hidden="1"/>
    </xf>
    <xf numFmtId="0" fontId="13" fillId="60" borderId="2" xfId="0" applyFont="1" applyFill="1" applyBorder="1" applyAlignment="1" applyProtection="1">
      <alignment horizontal="center" vertical="center"/>
      <protection hidden="1"/>
    </xf>
    <xf numFmtId="169" fontId="3" fillId="0" borderId="23" xfId="0" applyNumberFormat="1" applyFont="1" applyBorder="1" applyAlignment="1" applyProtection="1">
      <alignment horizontal="center"/>
      <protection hidden="1"/>
    </xf>
    <xf numFmtId="0" fontId="0" fillId="0" borderId="23" xfId="0" applyBorder="1" applyAlignment="1">
      <alignment horizontal="center"/>
    </xf>
    <xf numFmtId="0" fontId="21" fillId="56" borderId="11" xfId="0" applyFont="1" applyFill="1" applyBorder="1" applyAlignment="1" applyProtection="1">
      <alignment horizontal="center" vertical="center"/>
      <protection hidden="1"/>
    </xf>
    <xf numFmtId="0" fontId="5" fillId="56" borderId="11" xfId="0" applyFont="1" applyFill="1" applyBorder="1" applyAlignment="1" applyProtection="1">
      <alignment horizontal="center" vertical="center"/>
      <protection hidden="1"/>
    </xf>
    <xf numFmtId="0" fontId="21" fillId="56" borderId="0" xfId="0" applyFont="1" applyFill="1" applyAlignment="1" applyProtection="1">
      <alignment horizontal="center" vertical="center"/>
      <protection hidden="1"/>
    </xf>
    <xf numFmtId="0" fontId="5" fillId="56" borderId="0" xfId="0" applyFont="1" applyFill="1" applyAlignment="1" applyProtection="1">
      <alignment horizontal="center" vertical="center"/>
      <protection hidden="1"/>
    </xf>
    <xf numFmtId="0" fontId="21" fillId="25" borderId="144" xfId="0" applyFont="1" applyFill="1" applyBorder="1" applyAlignment="1" applyProtection="1">
      <alignment horizontal="center" vertical="center"/>
      <protection hidden="1"/>
    </xf>
    <xf numFmtId="0" fontId="21" fillId="25" borderId="49" xfId="0" applyFont="1" applyFill="1" applyBorder="1" applyAlignment="1" applyProtection="1">
      <alignment horizontal="center" vertical="center"/>
      <protection hidden="1"/>
    </xf>
    <xf numFmtId="0" fontId="5" fillId="0" borderId="34" xfId="0" applyFont="1" applyBorder="1" applyAlignment="1" applyProtection="1">
      <alignment horizontal="left" vertical="center"/>
      <protection hidden="1"/>
    </xf>
    <xf numFmtId="0" fontId="0" fillId="0" borderId="19" xfId="0" applyBorder="1"/>
    <xf numFmtId="0" fontId="11" fillId="47" borderId="31" xfId="0" applyFont="1" applyFill="1" applyBorder="1" applyAlignment="1" applyProtection="1">
      <alignment horizontal="center" vertical="center"/>
      <protection locked="0"/>
    </xf>
    <xf numFmtId="0" fontId="0" fillId="47" borderId="28" xfId="0" applyFill="1" applyBorder="1" applyAlignment="1" applyProtection="1">
      <alignment vertical="center"/>
      <protection locked="0"/>
    </xf>
    <xf numFmtId="0" fontId="0" fillId="47" borderId="22" xfId="0" applyFill="1" applyBorder="1" applyAlignment="1" applyProtection="1">
      <alignment vertical="center"/>
      <protection locked="0"/>
    </xf>
    <xf numFmtId="0" fontId="11" fillId="47" borderId="31" xfId="0" applyFont="1" applyFill="1" applyBorder="1" applyAlignment="1" applyProtection="1">
      <alignment horizontal="left" vertical="center"/>
      <protection locked="0"/>
    </xf>
    <xf numFmtId="0" fontId="11" fillId="47" borderId="28" xfId="0" applyFont="1" applyFill="1" applyBorder="1" applyAlignment="1" applyProtection="1">
      <alignment horizontal="left" vertical="center"/>
      <protection locked="0"/>
    </xf>
    <xf numFmtId="1" fontId="1" fillId="47" borderId="31" xfId="0" applyNumberFormat="1" applyFont="1" applyFill="1" applyBorder="1" applyAlignment="1" applyProtection="1">
      <alignment horizontal="center" vertical="center"/>
      <protection locked="0"/>
    </xf>
    <xf numFmtId="0" fontId="1" fillId="47" borderId="22" xfId="0" applyFont="1" applyFill="1" applyBorder="1" applyAlignment="1" applyProtection="1">
      <alignment horizontal="center" vertical="center"/>
      <protection locked="0"/>
    </xf>
    <xf numFmtId="0" fontId="11" fillId="47" borderId="16" xfId="0" quotePrefix="1" applyFont="1" applyFill="1" applyBorder="1" applyAlignment="1" applyProtection="1">
      <alignment horizontal="left" vertical="center"/>
      <protection locked="0"/>
    </xf>
    <xf numFmtId="0" fontId="0" fillId="47" borderId="0" xfId="0" applyFill="1" applyAlignment="1" applyProtection="1">
      <alignment horizontal="left" vertical="center"/>
      <protection locked="0"/>
    </xf>
    <xf numFmtId="0" fontId="0" fillId="47" borderId="0" xfId="0" applyFill="1" applyAlignment="1" applyProtection="1">
      <alignment vertical="center"/>
      <protection locked="0"/>
    </xf>
    <xf numFmtId="0" fontId="0" fillId="25" borderId="49" xfId="0" applyFill="1" applyBorder="1" applyAlignment="1">
      <alignment horizontal="center" vertical="center"/>
    </xf>
    <xf numFmtId="0" fontId="9" fillId="47" borderId="31" xfId="0" applyFont="1" applyFill="1" applyBorder="1" applyAlignment="1" applyProtection="1">
      <alignment horizontal="center" vertical="center"/>
      <protection locked="0"/>
    </xf>
    <xf numFmtId="0" fontId="0" fillId="47" borderId="22" xfId="0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top"/>
      <protection hidden="1"/>
    </xf>
    <xf numFmtId="0" fontId="0" fillId="0" borderId="0" xfId="0" applyAlignment="1">
      <alignment vertical="top"/>
    </xf>
    <xf numFmtId="0" fontId="5" fillId="60" borderId="23" xfId="0" applyFont="1" applyFill="1" applyBorder="1" applyAlignment="1" applyProtection="1">
      <alignment horizontal="center" vertical="center"/>
      <protection hidden="1"/>
    </xf>
    <xf numFmtId="0" fontId="5" fillId="60" borderId="58" xfId="0" applyFont="1" applyFill="1" applyBorder="1" applyAlignment="1" applyProtection="1">
      <alignment horizontal="center" vertical="center"/>
      <protection hidden="1"/>
    </xf>
    <xf numFmtId="0" fontId="1" fillId="9" borderId="125" xfId="0" applyFont="1" applyFill="1" applyBorder="1" applyAlignment="1" applyProtection="1">
      <alignment horizontal="center" vertical="center"/>
      <protection hidden="1"/>
    </xf>
    <xf numFmtId="0" fontId="1" fillId="9" borderId="138" xfId="0" applyFont="1" applyFill="1" applyBorder="1" applyAlignment="1" applyProtection="1">
      <alignment horizontal="center" vertical="center"/>
      <protection hidden="1"/>
    </xf>
    <xf numFmtId="0" fontId="21" fillId="60" borderId="4" xfId="0" applyFont="1" applyFill="1" applyBorder="1" applyAlignment="1" applyProtection="1">
      <alignment horizontal="center" vertical="center"/>
      <protection hidden="1"/>
    </xf>
    <xf numFmtId="0" fontId="3" fillId="0" borderId="23" xfId="0" applyFont="1" applyBorder="1" applyAlignment="1" applyProtection="1">
      <alignment horizontal="center"/>
      <protection hidden="1"/>
    </xf>
    <xf numFmtId="0" fontId="13" fillId="60" borderId="23" xfId="0" applyFont="1" applyFill="1" applyBorder="1" applyAlignment="1" applyProtection="1">
      <alignment vertical="center"/>
      <protection hidden="1"/>
    </xf>
    <xf numFmtId="0" fontId="13" fillId="60" borderId="58" xfId="0" applyFont="1" applyFill="1" applyBorder="1" applyAlignment="1" applyProtection="1">
      <alignment vertical="center"/>
      <protection hidden="1"/>
    </xf>
    <xf numFmtId="0" fontId="13" fillId="60" borderId="7" xfId="0" applyFont="1" applyFill="1" applyBorder="1" applyAlignment="1" applyProtection="1">
      <alignment horizontal="center" vertical="center"/>
      <protection hidden="1"/>
    </xf>
    <xf numFmtId="0" fontId="13" fillId="60" borderId="11" xfId="0" applyFont="1" applyFill="1" applyBorder="1" applyAlignment="1" applyProtection="1">
      <alignment vertical="center"/>
      <protection hidden="1"/>
    </xf>
    <xf numFmtId="0" fontId="13" fillId="60" borderId="5" xfId="0" applyFont="1" applyFill="1" applyBorder="1" applyAlignment="1" applyProtection="1">
      <alignment vertical="center"/>
      <protection hidden="1"/>
    </xf>
    <xf numFmtId="169" fontId="3" fillId="0" borderId="0" xfId="0" applyNumberFormat="1" applyFont="1" applyAlignment="1" applyProtection="1">
      <alignment horizontal="center"/>
      <protection hidden="1"/>
    </xf>
    <xf numFmtId="0" fontId="13" fillId="18" borderId="15" xfId="0" applyFont="1" applyFill="1" applyBorder="1" applyAlignment="1" applyProtection="1">
      <alignment horizontal="center" vertical="center"/>
      <protection hidden="1"/>
    </xf>
    <xf numFmtId="0" fontId="21" fillId="54" borderId="11" xfId="0" applyFont="1" applyFill="1" applyBorder="1" applyAlignment="1" applyProtection="1">
      <alignment horizontal="center" vertical="center"/>
      <protection hidden="1"/>
    </xf>
    <xf numFmtId="0" fontId="32" fillId="18" borderId="15" xfId="0" applyFont="1" applyFill="1" applyBorder="1" applyAlignment="1" applyProtection="1">
      <alignment horizontal="center" vertical="center"/>
      <protection hidden="1"/>
    </xf>
    <xf numFmtId="0" fontId="13" fillId="18" borderId="23" xfId="0" applyFont="1" applyFill="1" applyBorder="1" applyAlignment="1" applyProtection="1">
      <alignment vertical="center"/>
      <protection hidden="1"/>
    </xf>
    <xf numFmtId="0" fontId="13" fillId="18" borderId="58" xfId="0" applyFont="1" applyFill="1" applyBorder="1" applyAlignment="1" applyProtection="1">
      <alignment vertical="center"/>
      <protection hidden="1"/>
    </xf>
    <xf numFmtId="0" fontId="32" fillId="18" borderId="23" xfId="0" applyFont="1" applyFill="1" applyBorder="1" applyAlignment="1" applyProtection="1">
      <alignment horizontal="center" vertical="center"/>
      <protection hidden="1"/>
    </xf>
    <xf numFmtId="0" fontId="32" fillId="18" borderId="58" xfId="0" applyFont="1" applyFill="1" applyBorder="1" applyAlignment="1" applyProtection="1">
      <alignment horizontal="center" vertical="center"/>
      <protection hidden="1"/>
    </xf>
    <xf numFmtId="0" fontId="13" fillId="18" borderId="7" xfId="0" applyFont="1" applyFill="1" applyBorder="1" applyAlignment="1" applyProtection="1">
      <alignment horizontal="center" vertical="center"/>
      <protection hidden="1"/>
    </xf>
    <xf numFmtId="0" fontId="13" fillId="18" borderId="11" xfId="0" applyFont="1" applyFill="1" applyBorder="1" applyAlignment="1" applyProtection="1">
      <alignment vertical="center"/>
      <protection hidden="1"/>
    </xf>
    <xf numFmtId="0" fontId="13" fillId="18" borderId="5" xfId="0" applyFont="1" applyFill="1" applyBorder="1" applyAlignment="1" applyProtection="1">
      <alignment vertical="center"/>
      <protection hidden="1"/>
    </xf>
    <xf numFmtId="0" fontId="5" fillId="9" borderId="62" xfId="0" applyFont="1" applyFill="1" applyBorder="1" applyAlignment="1" applyProtection="1">
      <alignment horizontal="center"/>
      <protection hidden="1"/>
    </xf>
    <xf numFmtId="0" fontId="5" fillId="9" borderId="45" xfId="0" applyFont="1" applyFill="1" applyBorder="1" applyAlignment="1" applyProtection="1">
      <alignment horizontal="center"/>
      <protection hidden="1"/>
    </xf>
    <xf numFmtId="0" fontId="4" fillId="9" borderId="40" xfId="0" applyFont="1" applyFill="1" applyBorder="1" applyAlignment="1" applyProtection="1">
      <alignment horizontal="center"/>
      <protection hidden="1"/>
    </xf>
    <xf numFmtId="0" fontId="5" fillId="9" borderId="40" xfId="0" applyFont="1" applyFill="1" applyBorder="1" applyAlignment="1" applyProtection="1">
      <alignment horizontal="center"/>
      <protection hidden="1"/>
    </xf>
    <xf numFmtId="0" fontId="5" fillId="9" borderId="39" xfId="0" applyFont="1" applyFill="1" applyBorder="1" applyAlignment="1" applyProtection="1">
      <alignment horizontal="left"/>
      <protection hidden="1"/>
    </xf>
    <xf numFmtId="0" fontId="0" fillId="9" borderId="125" xfId="0" applyFill="1" applyBorder="1" applyProtection="1">
      <protection hidden="1"/>
    </xf>
    <xf numFmtId="0" fontId="0" fillId="9" borderId="141" xfId="0" applyFill="1" applyBorder="1" applyProtection="1">
      <protection hidden="1"/>
    </xf>
    <xf numFmtId="0" fontId="0" fillId="9" borderId="44" xfId="0" applyFill="1" applyBorder="1" applyProtection="1">
      <protection hidden="1"/>
    </xf>
    <xf numFmtId="0" fontId="0" fillId="9" borderId="45" xfId="0" applyFill="1" applyBorder="1" applyProtection="1">
      <protection hidden="1"/>
    </xf>
    <xf numFmtId="0" fontId="2" fillId="9" borderId="36" xfId="0" applyFont="1" applyFill="1" applyBorder="1" applyAlignment="1" applyProtection="1">
      <alignment horizontal="center"/>
      <protection hidden="1"/>
    </xf>
    <xf numFmtId="0" fontId="0" fillId="9" borderId="130" xfId="0" applyFill="1" applyBorder="1" applyAlignment="1" applyProtection="1">
      <alignment horizontal="center"/>
      <protection hidden="1"/>
    </xf>
    <xf numFmtId="0" fontId="0" fillId="9" borderId="35" xfId="0" applyFill="1" applyBorder="1" applyAlignment="1" applyProtection="1">
      <alignment horizontal="center"/>
      <protection hidden="1"/>
    </xf>
    <xf numFmtId="0" fontId="0" fillId="4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12" fillId="33" borderId="0" xfId="0" applyFont="1" applyFill="1" applyAlignment="1">
      <alignment horizontal="center"/>
    </xf>
    <xf numFmtId="0" fontId="92" fillId="33" borderId="0" xfId="0" applyFont="1" applyFill="1"/>
    <xf numFmtId="0" fontId="0" fillId="33" borderId="0" xfId="0" applyFill="1"/>
    <xf numFmtId="0" fontId="112" fillId="49" borderId="0" xfId="0" applyFont="1" applyFill="1" applyAlignment="1">
      <alignment horizontal="center"/>
    </xf>
    <xf numFmtId="0" fontId="92" fillId="49" borderId="0" xfId="0" applyFont="1" applyFill="1"/>
    <xf numFmtId="0" fontId="0" fillId="49" borderId="0" xfId="0" applyFill="1"/>
    <xf numFmtId="2" fontId="0" fillId="4" borderId="0" xfId="0" applyNumberFormat="1" applyFill="1" applyAlignment="1">
      <alignment horizontal="center" vertical="center"/>
    </xf>
    <xf numFmtId="0" fontId="112" fillId="50" borderId="0" xfId="0" applyFont="1" applyFill="1" applyAlignment="1">
      <alignment horizontal="center"/>
    </xf>
    <xf numFmtId="0" fontId="92" fillId="50" borderId="0" xfId="0" applyFont="1" applyFill="1"/>
    <xf numFmtId="0" fontId="13" fillId="18" borderId="130" xfId="0" applyFont="1" applyFill="1" applyBorder="1" applyAlignment="1" applyProtection="1">
      <alignment horizontal="center" vertical="center"/>
      <protection hidden="1"/>
    </xf>
    <xf numFmtId="0" fontId="13" fillId="18" borderId="130" xfId="0" applyFont="1" applyFill="1" applyBorder="1" applyAlignment="1" applyProtection="1">
      <alignment vertical="center"/>
      <protection hidden="1"/>
    </xf>
    <xf numFmtId="0" fontId="13" fillId="18" borderId="2" xfId="0" applyFont="1" applyFill="1" applyBorder="1" applyAlignment="1" applyProtection="1">
      <alignment vertical="center"/>
      <protection hidden="1"/>
    </xf>
    <xf numFmtId="0" fontId="8" fillId="9" borderId="0" xfId="0" applyFont="1" applyFill="1" applyAlignment="1">
      <alignment horizontal="center" vertical="center"/>
    </xf>
    <xf numFmtId="0" fontId="8" fillId="9" borderId="33" xfId="0" applyFont="1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12" fillId="50" borderId="29" xfId="0" applyFont="1" applyFill="1" applyBorder="1" applyAlignment="1" applyProtection="1">
      <alignment horizontal="center" vertical="center"/>
      <protection hidden="1"/>
    </xf>
    <xf numFmtId="0" fontId="112" fillId="50" borderId="0" xfId="0" applyFont="1" applyFill="1" applyAlignment="1" applyProtection="1">
      <alignment horizontal="center" vertical="center"/>
      <protection hidden="1"/>
    </xf>
    <xf numFmtId="0" fontId="1" fillId="0" borderId="29" xfId="0" applyFont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3" fillId="9" borderId="13" xfId="19" applyFont="1" applyFill="1" applyBorder="1" applyAlignment="1" applyProtection="1">
      <alignment horizontal="center" textRotation="90"/>
      <protection hidden="1"/>
    </xf>
    <xf numFmtId="0" fontId="3" fillId="0" borderId="13" xfId="0" applyFont="1" applyBorder="1" applyAlignment="1">
      <alignment horizontal="center"/>
    </xf>
    <xf numFmtId="0" fontId="21" fillId="54" borderId="160" xfId="0" applyFont="1" applyFill="1" applyBorder="1" applyAlignment="1" applyProtection="1">
      <alignment horizontal="center" vertical="center"/>
      <protection hidden="1"/>
    </xf>
    <xf numFmtId="0" fontId="0" fillId="54" borderId="160" xfId="0" applyFill="1" applyBorder="1" applyAlignment="1">
      <alignment horizontal="center" vertical="center"/>
    </xf>
    <xf numFmtId="0" fontId="32" fillId="18" borderId="0" xfId="0" applyFont="1" applyFill="1" applyAlignment="1" applyProtection="1">
      <alignment horizontal="center" vertical="center"/>
      <protection hidden="1"/>
    </xf>
    <xf numFmtId="0" fontId="13" fillId="18" borderId="0" xfId="0" applyFont="1" applyFill="1" applyAlignment="1" applyProtection="1">
      <alignment vertical="center"/>
      <protection hidden="1"/>
    </xf>
    <xf numFmtId="0" fontId="13" fillId="18" borderId="3" xfId="0" applyFont="1" applyFill="1" applyBorder="1" applyAlignment="1" applyProtection="1">
      <alignment vertical="center"/>
      <protection hidden="1"/>
    </xf>
    <xf numFmtId="0" fontId="13" fillId="18" borderId="16" xfId="0" applyFont="1" applyFill="1" applyBorder="1" applyAlignment="1" applyProtection="1">
      <alignment horizontal="center" vertical="center"/>
      <protection hidden="1"/>
    </xf>
    <xf numFmtId="0" fontId="13" fillId="18" borderId="0" xfId="0" applyFont="1" applyFill="1" applyAlignment="1" applyProtection="1">
      <alignment horizontal="center" vertical="center"/>
      <protection hidden="1"/>
    </xf>
    <xf numFmtId="0" fontId="13" fillId="18" borderId="3" xfId="0" applyFont="1" applyFill="1" applyBorder="1" applyAlignment="1" applyProtection="1">
      <alignment horizontal="center" vertical="center"/>
      <protection hidden="1"/>
    </xf>
    <xf numFmtId="0" fontId="3" fillId="0" borderId="13" xfId="19" applyFont="1" applyBorder="1" applyAlignment="1" applyProtection="1">
      <alignment horizontal="center" textRotation="90"/>
      <protection hidden="1"/>
    </xf>
    <xf numFmtId="0" fontId="32" fillId="48" borderId="189" xfId="0" applyFont="1" applyFill="1" applyBorder="1" applyAlignment="1">
      <alignment horizontal="center" vertical="center"/>
    </xf>
    <xf numFmtId="0" fontId="1" fillId="0" borderId="189" xfId="0" applyFont="1" applyBorder="1" applyAlignment="1">
      <alignment horizontal="center" vertical="center"/>
    </xf>
    <xf numFmtId="0" fontId="111" fillId="28" borderId="189" xfId="0" applyFont="1" applyFill="1" applyBorder="1" applyAlignment="1">
      <alignment horizontal="center" vertical="center"/>
    </xf>
    <xf numFmtId="0" fontId="111" fillId="0" borderId="189" xfId="0" applyFont="1" applyBorder="1" applyAlignment="1">
      <alignment horizontal="center" vertical="center"/>
    </xf>
    <xf numFmtId="0" fontId="111" fillId="49" borderId="189" xfId="0" applyFont="1" applyFill="1" applyBorder="1" applyAlignment="1">
      <alignment horizontal="center" vertical="center"/>
    </xf>
    <xf numFmtId="0" fontId="4" fillId="0" borderId="0" xfId="0" applyFont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top" wrapText="1"/>
      <protection hidden="1"/>
    </xf>
    <xf numFmtId="0" fontId="5" fillId="0" borderId="0" xfId="0" applyFont="1" applyAlignment="1" applyProtection="1">
      <alignment horizontal="center" vertical="top" wrapText="1"/>
      <protection hidden="1"/>
    </xf>
    <xf numFmtId="0" fontId="0" fillId="0" borderId="0" xfId="0" applyProtection="1">
      <protection hidden="1"/>
    </xf>
    <xf numFmtId="165" fontId="11" fillId="0" borderId="0" xfId="0" applyNumberFormat="1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justify" vertical="top" wrapText="1"/>
      <protection hidden="1"/>
    </xf>
    <xf numFmtId="0" fontId="0" fillId="0" borderId="0" xfId="0" applyAlignment="1" applyProtection="1">
      <alignment horizontal="justify" vertical="top" wrapText="1"/>
      <protection hidden="1"/>
    </xf>
    <xf numFmtId="1" fontId="5" fillId="0" borderId="0" xfId="0" applyNumberFormat="1" applyFont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1" fontId="11" fillId="0" borderId="0" xfId="0" applyNumberFormat="1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11" fillId="0" borderId="150" xfId="0" applyFont="1" applyBorder="1" applyAlignment="1" applyProtection="1">
      <alignment horizontal="center" vertical="center" wrapText="1"/>
      <protection hidden="1"/>
    </xf>
    <xf numFmtId="0" fontId="0" fillId="0" borderId="73" xfId="0" applyBorder="1" applyAlignment="1" applyProtection="1">
      <alignment horizontal="center" vertical="center" wrapText="1"/>
      <protection hidden="1"/>
    </xf>
    <xf numFmtId="0" fontId="5" fillId="0" borderId="151" xfId="0" applyFont="1" applyBorder="1" applyAlignment="1" applyProtection="1">
      <alignment horizontal="center" vertical="center" wrapText="1"/>
      <protection hidden="1"/>
    </xf>
    <xf numFmtId="0" fontId="0" fillId="0" borderId="152" xfId="0" applyBorder="1" applyAlignment="1" applyProtection="1">
      <alignment horizontal="center" vertical="center" wrapText="1"/>
      <protection hidden="1"/>
    </xf>
    <xf numFmtId="165" fontId="11" fillId="0" borderId="153" xfId="0" applyNumberFormat="1" applyFont="1" applyBorder="1" applyAlignment="1" applyProtection="1">
      <alignment horizontal="center" vertical="center" wrapText="1"/>
      <protection hidden="1"/>
    </xf>
    <xf numFmtId="0" fontId="0" fillId="0" borderId="61" xfId="0" applyBorder="1" applyAlignment="1" applyProtection="1">
      <alignment horizontal="center" vertical="center" wrapText="1"/>
      <protection hidden="1"/>
    </xf>
    <xf numFmtId="0" fontId="5" fillId="0" borderId="104" xfId="0" applyFont="1" applyBorder="1" applyAlignment="1" applyProtection="1">
      <alignment horizontal="center" vertical="center" wrapText="1"/>
      <protection hidden="1"/>
    </xf>
    <xf numFmtId="0" fontId="0" fillId="0" borderId="86" xfId="0" applyBorder="1" applyAlignment="1" applyProtection="1">
      <alignment horizontal="center" vertical="center"/>
      <protection hidden="1"/>
    </xf>
    <xf numFmtId="165" fontId="11" fillId="0" borderId="154" xfId="0" applyNumberFormat="1" applyFont="1" applyBorder="1" applyAlignment="1" applyProtection="1">
      <alignment horizontal="center" vertical="center" wrapText="1"/>
      <protection hidden="1"/>
    </xf>
    <xf numFmtId="0" fontId="0" fillId="0" borderId="155" xfId="0" applyBorder="1" applyAlignment="1" applyProtection="1">
      <alignment horizontal="center" vertical="center"/>
      <protection hidden="1"/>
    </xf>
    <xf numFmtId="1" fontId="11" fillId="0" borderId="103" xfId="0" applyNumberFormat="1" applyFont="1" applyBorder="1" applyAlignment="1" applyProtection="1">
      <alignment horizontal="center" vertical="center" wrapText="1"/>
      <protection hidden="1"/>
    </xf>
    <xf numFmtId="0" fontId="0" fillId="0" borderId="92" xfId="0" applyBorder="1" applyAlignment="1" applyProtection="1">
      <alignment horizontal="center" vertical="center"/>
      <protection hidden="1"/>
    </xf>
    <xf numFmtId="1" fontId="11" fillId="0" borderId="81" xfId="0" applyNumberFormat="1" applyFont="1" applyBorder="1" applyAlignment="1" applyProtection="1">
      <alignment horizontal="center" vertical="center" wrapText="1"/>
      <protection hidden="1"/>
    </xf>
    <xf numFmtId="0" fontId="0" fillId="0" borderId="82" xfId="0" applyBorder="1" applyAlignment="1" applyProtection="1">
      <alignment horizontal="center" vertical="center" wrapText="1"/>
      <protection hidden="1"/>
    </xf>
    <xf numFmtId="0" fontId="20" fillId="12" borderId="28" xfId="0" applyFont="1" applyFill="1" applyBorder="1" applyAlignment="1" applyProtection="1">
      <alignment horizontal="left" vertical="center" wrapText="1"/>
      <protection hidden="1"/>
    </xf>
    <xf numFmtId="0" fontId="0" fillId="12" borderId="28" xfId="0" applyFill="1" applyBorder="1" applyAlignment="1" applyProtection="1">
      <alignment vertical="center" wrapText="1"/>
      <protection hidden="1"/>
    </xf>
    <xf numFmtId="0" fontId="0" fillId="12" borderId="28" xfId="0" applyFill="1" applyBorder="1" applyProtection="1">
      <protection hidden="1"/>
    </xf>
    <xf numFmtId="0" fontId="0" fillId="12" borderId="22" xfId="0" applyFill="1" applyBorder="1" applyProtection="1">
      <protection hidden="1"/>
    </xf>
    <xf numFmtId="1" fontId="5" fillId="0" borderId="79" xfId="0" applyNumberFormat="1" applyFont="1" applyBorder="1" applyAlignment="1" applyProtection="1">
      <alignment horizontal="center" vertical="center" wrapText="1"/>
      <protection hidden="1"/>
    </xf>
    <xf numFmtId="1" fontId="5" fillId="0" borderId="94" xfId="0" applyNumberFormat="1" applyFont="1" applyBorder="1" applyAlignment="1" applyProtection="1">
      <alignment horizontal="center" vertical="center" wrapText="1"/>
      <protection hidden="1"/>
    </xf>
    <xf numFmtId="0" fontId="5" fillId="0" borderId="99" xfId="0" applyFont="1" applyBorder="1" applyAlignment="1" applyProtection="1">
      <alignment horizontal="justify" vertical="top" wrapText="1"/>
      <protection hidden="1"/>
    </xf>
    <xf numFmtId="0" fontId="5" fillId="0" borderId="90" xfId="0" applyFont="1" applyBorder="1" applyAlignment="1" applyProtection="1">
      <alignment horizontal="justify" vertical="top" wrapText="1"/>
      <protection hidden="1"/>
    </xf>
    <xf numFmtId="0" fontId="4" fillId="0" borderId="81" xfId="0" applyFont="1" applyBorder="1" applyAlignment="1" applyProtection="1">
      <alignment horizontal="center" vertical="center" wrapText="1"/>
      <protection hidden="1"/>
    </xf>
    <xf numFmtId="0" fontId="5" fillId="0" borderId="150" xfId="0" applyFont="1" applyBorder="1" applyAlignment="1" applyProtection="1">
      <alignment horizontal="center" vertical="center" wrapText="1"/>
      <protection hidden="1"/>
    </xf>
    <xf numFmtId="0" fontId="5" fillId="0" borderId="73" xfId="0" applyFont="1" applyBorder="1" applyAlignment="1" applyProtection="1">
      <alignment horizontal="center" vertical="center"/>
      <protection hidden="1"/>
    </xf>
    <xf numFmtId="0" fontId="2" fillId="9" borderId="43" xfId="0" applyFont="1" applyFill="1" applyBorder="1" applyAlignment="1" applyProtection="1">
      <alignment horizontal="center" vertical="top" wrapText="1"/>
      <protection hidden="1"/>
    </xf>
    <xf numFmtId="0" fontId="2" fillId="9" borderId="38" xfId="0" applyFont="1" applyFill="1" applyBorder="1" applyAlignment="1" applyProtection="1">
      <alignment horizontal="center" vertical="top" wrapText="1"/>
      <protection hidden="1"/>
    </xf>
    <xf numFmtId="0" fontId="2" fillId="9" borderId="58" xfId="0" applyFont="1" applyFill="1" applyBorder="1" applyAlignment="1" applyProtection="1">
      <alignment horizontal="center" vertical="top" wrapText="1"/>
      <protection hidden="1"/>
    </xf>
    <xf numFmtId="0" fontId="2" fillId="9" borderId="3" xfId="0" applyFont="1" applyFill="1" applyBorder="1" applyAlignment="1" applyProtection="1">
      <alignment horizontal="center" vertical="top" wrapText="1"/>
      <protection hidden="1"/>
    </xf>
    <xf numFmtId="0" fontId="2" fillId="9" borderId="142" xfId="0" applyFont="1" applyFill="1" applyBorder="1" applyAlignment="1" applyProtection="1">
      <alignment horizontal="center" vertical="center"/>
      <protection hidden="1"/>
    </xf>
    <xf numFmtId="0" fontId="2" fillId="9" borderId="131" xfId="0" applyFont="1" applyFill="1" applyBorder="1" applyAlignment="1" applyProtection="1">
      <alignment horizontal="center" vertical="center"/>
      <protection hidden="1"/>
    </xf>
    <xf numFmtId="0" fontId="0" fillId="0" borderId="61" xfId="0" applyBorder="1" applyAlignment="1" applyProtection="1">
      <alignment horizontal="center" vertical="center"/>
      <protection hidden="1"/>
    </xf>
    <xf numFmtId="1" fontId="11" fillId="0" borderId="115" xfId="0" applyNumberFormat="1" applyFont="1" applyBorder="1" applyAlignment="1" applyProtection="1">
      <alignment horizontal="center" vertical="center" wrapText="1"/>
      <protection hidden="1"/>
    </xf>
    <xf numFmtId="0" fontId="0" fillId="0" borderId="156" xfId="0" applyBorder="1" applyAlignment="1" applyProtection="1">
      <alignment horizontal="center" vertical="center"/>
      <protection hidden="1"/>
    </xf>
    <xf numFmtId="0" fontId="5" fillId="9" borderId="16" xfId="0" applyFont="1" applyFill="1" applyBorder="1" applyAlignment="1" applyProtection="1">
      <alignment horizontal="center" vertical="top" wrapText="1"/>
      <protection hidden="1"/>
    </xf>
    <xf numFmtId="0" fontId="0" fillId="0" borderId="7" xfId="0" applyBorder="1" applyProtection="1">
      <protection hidden="1"/>
    </xf>
    <xf numFmtId="0" fontId="2" fillId="0" borderId="87" xfId="0" applyFont="1" applyBorder="1" applyAlignment="1" applyProtection="1">
      <alignment horizontal="justify"/>
      <protection hidden="1"/>
    </xf>
    <xf numFmtId="0" fontId="0" fillId="0" borderId="87" xfId="0" applyBorder="1" applyProtection="1">
      <protection hidden="1"/>
    </xf>
    <xf numFmtId="0" fontId="4" fillId="9" borderId="15" xfId="0" applyFont="1" applyFill="1" applyBorder="1" applyAlignment="1" applyProtection="1">
      <alignment horizontal="center" vertical="center" wrapText="1"/>
      <protection hidden="1"/>
    </xf>
    <xf numFmtId="0" fontId="4" fillId="9" borderId="23" xfId="0" applyFont="1" applyFill="1" applyBorder="1" applyAlignment="1" applyProtection="1">
      <alignment horizontal="center" vertical="center" wrapText="1"/>
      <protection hidden="1"/>
    </xf>
    <xf numFmtId="0" fontId="4" fillId="9" borderId="58" xfId="0" applyFont="1" applyFill="1" applyBorder="1" applyAlignment="1" applyProtection="1">
      <alignment horizontal="center" vertical="center" wrapText="1"/>
      <protection hidden="1"/>
    </xf>
    <xf numFmtId="0" fontId="5" fillId="0" borderId="150" xfId="0" applyFont="1" applyBorder="1" applyAlignment="1" applyProtection="1">
      <alignment horizontal="justify" vertical="top" wrapText="1"/>
      <protection hidden="1"/>
    </xf>
    <xf numFmtId="0" fontId="5" fillId="0" borderId="29" xfId="0" applyFont="1" applyBorder="1" applyAlignment="1" applyProtection="1">
      <alignment horizontal="justify" vertical="top" wrapText="1"/>
      <protection hidden="1"/>
    </xf>
    <xf numFmtId="0" fontId="0" fillId="0" borderId="115" xfId="0" applyBorder="1" applyAlignment="1" applyProtection="1">
      <alignment horizontal="justify" vertical="top" wrapText="1"/>
      <protection hidden="1"/>
    </xf>
    <xf numFmtId="0" fontId="0" fillId="0" borderId="73" xfId="0" applyBorder="1" applyAlignment="1" applyProtection="1">
      <alignment horizontal="justify" vertical="top" wrapText="1"/>
      <protection hidden="1"/>
    </xf>
    <xf numFmtId="0" fontId="0" fillId="0" borderId="33" xfId="0" applyBorder="1" applyAlignment="1" applyProtection="1">
      <alignment horizontal="justify" vertical="top" wrapText="1"/>
      <protection hidden="1"/>
    </xf>
    <xf numFmtId="0" fontId="0" fillId="0" borderId="156" xfId="0" applyBorder="1" applyAlignment="1" applyProtection="1">
      <alignment horizontal="justify" vertical="top" wrapTex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1" xfId="0" applyFont="1" applyFill="1" applyBorder="1" applyAlignment="1" applyProtection="1">
      <alignment horizontal="center" vertical="center" wrapText="1"/>
      <protection hidden="1"/>
    </xf>
    <xf numFmtId="0" fontId="4" fillId="9" borderId="5" xfId="0" applyFont="1" applyFill="1" applyBorder="1" applyAlignment="1" applyProtection="1">
      <alignment horizontal="center" vertical="center" wrapText="1"/>
      <protection hidden="1"/>
    </xf>
    <xf numFmtId="0" fontId="5" fillId="0" borderId="157" xfId="0" applyFont="1" applyBorder="1" applyAlignment="1" applyProtection="1">
      <alignment horizontal="justify" vertical="top" wrapText="1"/>
      <protection hidden="1"/>
    </xf>
    <xf numFmtId="0" fontId="2" fillId="0" borderId="100" xfId="0" applyFont="1" applyBorder="1" applyAlignment="1" applyProtection="1">
      <alignment horizontal="left" vertical="center" wrapText="1"/>
      <protection hidden="1"/>
    </xf>
    <xf numFmtId="0" fontId="0" fillId="0" borderId="87" xfId="0" applyBorder="1" applyAlignment="1" applyProtection="1">
      <alignment vertical="center"/>
      <protection hidden="1"/>
    </xf>
    <xf numFmtId="0" fontId="8" fillId="9" borderId="15" xfId="0" applyFont="1" applyFill="1" applyBorder="1" applyAlignment="1" applyProtection="1">
      <alignment horizontal="center" vertical="center" wrapText="1"/>
      <protection hidden="1"/>
    </xf>
    <xf numFmtId="0" fontId="11" fillId="0" borderId="58" xfId="0" applyFont="1" applyBorder="1" applyAlignment="1" applyProtection="1">
      <alignment horizontal="center" vertical="center" wrapText="1"/>
      <protection hidden="1"/>
    </xf>
    <xf numFmtId="0" fontId="20" fillId="20" borderId="28" xfId="0" applyFont="1" applyFill="1" applyBorder="1" applyAlignment="1" applyProtection="1">
      <alignment horizontal="left" vertical="center" wrapText="1"/>
      <protection hidden="1"/>
    </xf>
    <xf numFmtId="0" fontId="11" fillId="20" borderId="28" xfId="0" applyFont="1" applyFill="1" applyBorder="1" applyAlignment="1" applyProtection="1">
      <alignment vertical="center" wrapText="1"/>
      <protection hidden="1"/>
    </xf>
    <xf numFmtId="0" fontId="11" fillId="12" borderId="22" xfId="0" applyFont="1" applyFill="1" applyBorder="1" applyProtection="1">
      <protection hidden="1"/>
    </xf>
    <xf numFmtId="0" fontId="8" fillId="9" borderId="16" xfId="0" applyFont="1" applyFill="1" applyBorder="1" applyAlignment="1" applyProtection="1">
      <alignment horizontal="center" vertical="top" wrapText="1"/>
      <protection hidden="1"/>
    </xf>
    <xf numFmtId="0" fontId="11" fillId="0" borderId="3" xfId="0" applyFont="1" applyBorder="1" applyAlignment="1" applyProtection="1">
      <alignment horizontal="center" vertical="top" wrapText="1"/>
      <protection hidden="1"/>
    </xf>
    <xf numFmtId="0" fontId="8" fillId="0" borderId="158" xfId="0" applyFont="1" applyBorder="1" applyAlignment="1" applyProtection="1">
      <alignment horizontal="justify" vertical="top" wrapText="1"/>
      <protection hidden="1"/>
    </xf>
    <xf numFmtId="0" fontId="8" fillId="0" borderId="89" xfId="0" applyFont="1" applyBorder="1" applyAlignment="1" applyProtection="1">
      <alignment horizontal="justify" vertical="top" wrapText="1"/>
      <protection hidden="1"/>
    </xf>
    <xf numFmtId="0" fontId="8" fillId="9" borderId="15" xfId="0" applyFont="1" applyFill="1" applyBorder="1" applyAlignment="1" applyProtection="1">
      <alignment horizontal="center" vertical="top" wrapText="1"/>
      <protection hidden="1"/>
    </xf>
    <xf numFmtId="0" fontId="0" fillId="0" borderId="23" xfId="0" applyBorder="1" applyAlignment="1" applyProtection="1">
      <alignment horizontal="center" vertical="top" wrapText="1"/>
      <protection hidden="1"/>
    </xf>
    <xf numFmtId="0" fontId="8" fillId="0" borderId="16" xfId="0" applyFont="1" applyBorder="1" applyAlignment="1" applyProtection="1">
      <alignment horizontal="justify" vertical="top" wrapText="1"/>
      <protection hidden="1"/>
    </xf>
    <xf numFmtId="0" fontId="8" fillId="0" borderId="91" xfId="0" applyFont="1" applyBorder="1" applyAlignment="1" applyProtection="1">
      <alignment horizontal="justify" vertical="top" wrapText="1"/>
      <protection hidden="1"/>
    </xf>
    <xf numFmtId="0" fontId="2" fillId="25" borderId="31" xfId="0" quotePrefix="1" applyFont="1" applyFill="1" applyBorder="1" applyAlignment="1" applyProtection="1">
      <alignment horizontal="center" vertical="center"/>
      <protection hidden="1"/>
    </xf>
    <xf numFmtId="0" fontId="0" fillId="25" borderId="28" xfId="0" applyFill="1" applyBorder="1" applyAlignment="1" applyProtection="1">
      <alignment horizontal="center" vertical="center"/>
      <protection hidden="1"/>
    </xf>
    <xf numFmtId="0" fontId="2" fillId="25" borderId="28" xfId="0" quotePrefix="1" applyFont="1" applyFill="1" applyBorder="1" applyAlignment="1" applyProtection="1">
      <alignment horizontal="center" vertical="center"/>
      <protection hidden="1"/>
    </xf>
    <xf numFmtId="0" fontId="2" fillId="25" borderId="22" xfId="0" quotePrefix="1" applyFont="1" applyFill="1" applyBorder="1" applyAlignment="1" applyProtection="1">
      <alignment horizontal="center" vertical="center"/>
      <protection hidden="1"/>
    </xf>
    <xf numFmtId="0" fontId="0" fillId="25" borderId="28" xfId="0" applyFill="1" applyBorder="1" applyProtection="1">
      <protection hidden="1"/>
    </xf>
    <xf numFmtId="0" fontId="0" fillId="25" borderId="22" xfId="0" applyFill="1" applyBorder="1" applyProtection="1">
      <protection hidden="1"/>
    </xf>
    <xf numFmtId="0" fontId="2" fillId="2" borderId="31" xfId="0" quotePrefix="1" applyFont="1" applyFill="1" applyBorder="1" applyAlignment="1" applyProtection="1">
      <alignment horizontal="center" vertical="center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0" fontId="2" fillId="2" borderId="22" xfId="0" quotePrefix="1" applyFont="1" applyFill="1" applyBorder="1" applyAlignment="1" applyProtection="1">
      <alignment horizontal="center" vertical="center"/>
      <protection hidden="1"/>
    </xf>
    <xf numFmtId="0" fontId="9" fillId="9" borderId="42" xfId="1" applyFont="1" applyFill="1" applyBorder="1" applyAlignment="1" applyProtection="1">
      <alignment horizontal="left" vertical="center" wrapText="1"/>
      <protection hidden="1"/>
    </xf>
    <xf numFmtId="0" fontId="0" fillId="0" borderId="14" xfId="0" applyBorder="1" applyAlignment="1">
      <alignment horizontal="left" vertical="center" wrapText="1"/>
    </xf>
    <xf numFmtId="0" fontId="1" fillId="9" borderId="42" xfId="1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>
      <alignment horizontal="center" vertical="center" wrapText="1"/>
    </xf>
    <xf numFmtId="0" fontId="9" fillId="9" borderId="42" xfId="1" applyFont="1" applyFill="1" applyBorder="1" applyAlignment="1" applyProtection="1">
      <alignment horizontal="center" vertical="center"/>
      <protection hidden="1"/>
    </xf>
    <xf numFmtId="0" fontId="0" fillId="0" borderId="14" xfId="0" applyBorder="1" applyAlignment="1">
      <alignment horizontal="center" vertical="center"/>
    </xf>
    <xf numFmtId="0" fontId="9" fillId="9" borderId="43" xfId="1" applyFont="1" applyFill="1" applyBorder="1" applyAlignment="1" applyProtection="1">
      <alignment vertical="center" wrapText="1"/>
      <protection hidden="1"/>
    </xf>
    <xf numFmtId="0" fontId="0" fillId="0" borderId="53" xfId="0" applyBorder="1" applyAlignment="1">
      <alignment vertical="center" wrapText="1"/>
    </xf>
    <xf numFmtId="0" fontId="5" fillId="9" borderId="43" xfId="1" applyFill="1" applyBorder="1" applyAlignment="1" applyProtection="1">
      <alignment horizontal="center" vertical="center"/>
      <protection hidden="1"/>
    </xf>
    <xf numFmtId="0" fontId="0" fillId="0" borderId="53" xfId="0" applyBorder="1" applyAlignment="1">
      <alignment horizontal="center" vertical="center"/>
    </xf>
    <xf numFmtId="0" fontId="9" fillId="9" borderId="43" xfId="1" applyFont="1" applyFill="1" applyBorder="1" applyAlignment="1" applyProtection="1">
      <alignment horizontal="center" vertical="center"/>
      <protection hidden="1"/>
    </xf>
    <xf numFmtId="0" fontId="9" fillId="9" borderId="16" xfId="1" applyFont="1" applyFill="1" applyBorder="1" applyAlignment="1" applyProtection="1">
      <alignment vertical="center" wrapText="1"/>
      <protection hidden="1"/>
    </xf>
    <xf numFmtId="0" fontId="5" fillId="0" borderId="0" xfId="1" applyAlignment="1" applyProtection="1">
      <alignment vertical="center"/>
      <protection hidden="1"/>
    </xf>
    <xf numFmtId="0" fontId="9" fillId="9" borderId="7" xfId="0" applyFont="1" applyFill="1" applyBorder="1" applyAlignment="1" applyProtection="1">
      <alignment vertical="center" wrapText="1"/>
      <protection hidden="1"/>
    </xf>
    <xf numFmtId="0" fontId="0" fillId="0" borderId="11" xfId="0" applyBorder="1" applyProtection="1">
      <protection hidden="1"/>
    </xf>
    <xf numFmtId="0" fontId="9" fillId="9" borderId="132" xfId="1" applyFont="1" applyFill="1" applyBorder="1" applyAlignment="1" applyProtection="1">
      <alignment vertical="center" wrapText="1"/>
      <protection hidden="1"/>
    </xf>
    <xf numFmtId="0" fontId="5" fillId="0" borderId="44" xfId="1" applyBorder="1" applyAlignment="1" applyProtection="1">
      <alignment vertical="center"/>
      <protection hidden="1"/>
    </xf>
    <xf numFmtId="0" fontId="5" fillId="0" borderId="0" xfId="1" applyProtection="1">
      <protection hidden="1"/>
    </xf>
    <xf numFmtId="0" fontId="9" fillId="9" borderId="48" xfId="1" applyFont="1" applyFill="1" applyBorder="1" applyAlignment="1" applyProtection="1">
      <alignment vertical="center" wrapText="1"/>
      <protection hidden="1"/>
    </xf>
    <xf numFmtId="0" fontId="5" fillId="0" borderId="125" xfId="1" applyBorder="1" applyAlignment="1" applyProtection="1">
      <alignment vertical="center"/>
      <protection hidden="1"/>
    </xf>
    <xf numFmtId="0" fontId="9" fillId="9" borderId="48" xfId="1" applyFont="1" applyFill="1" applyBorder="1" applyAlignment="1" applyProtection="1">
      <alignment vertical="top" wrapText="1"/>
      <protection hidden="1"/>
    </xf>
    <xf numFmtId="0" fontId="5" fillId="0" borderId="125" xfId="1" applyBorder="1" applyAlignment="1" applyProtection="1">
      <alignment vertical="top"/>
      <protection hidden="1"/>
    </xf>
    <xf numFmtId="0" fontId="9" fillId="9" borderId="4" xfId="1" applyFont="1" applyFill="1" applyBorder="1" applyAlignment="1" applyProtection="1">
      <alignment vertical="center" wrapText="1"/>
      <protection hidden="1"/>
    </xf>
    <xf numFmtId="0" fontId="5" fillId="0" borderId="130" xfId="1" applyBorder="1" applyAlignment="1" applyProtection="1">
      <alignment vertical="center"/>
      <protection hidden="1"/>
    </xf>
    <xf numFmtId="0" fontId="9" fillId="9" borderId="142" xfId="1" applyFont="1" applyFill="1" applyBorder="1" applyAlignment="1" applyProtection="1">
      <alignment vertical="center" wrapText="1"/>
      <protection hidden="1"/>
    </xf>
    <xf numFmtId="0" fontId="5" fillId="9" borderId="131" xfId="1" applyFill="1" applyBorder="1" applyAlignment="1" applyProtection="1">
      <alignment wrapText="1"/>
      <protection hidden="1"/>
    </xf>
    <xf numFmtId="0" fontId="7" fillId="9" borderId="125" xfId="1" applyFont="1" applyFill="1" applyBorder="1" applyAlignment="1" applyProtection="1">
      <alignment vertical="top" wrapText="1"/>
      <protection hidden="1"/>
    </xf>
    <xf numFmtId="0" fontId="9" fillId="9" borderId="159" xfId="1" applyFont="1" applyFill="1" applyBorder="1" applyAlignment="1" applyProtection="1">
      <alignment vertical="center" wrapText="1"/>
      <protection hidden="1"/>
    </xf>
    <xf numFmtId="0" fontId="9" fillId="9" borderId="133" xfId="1" applyFont="1" applyFill="1" applyBorder="1" applyAlignment="1" applyProtection="1">
      <alignment vertical="center" wrapText="1"/>
      <protection hidden="1"/>
    </xf>
    <xf numFmtId="0" fontId="9" fillId="9" borderId="48" xfId="1" applyFont="1" applyFill="1" applyBorder="1" applyAlignment="1" applyProtection="1">
      <alignment horizontal="justify" vertical="center" wrapText="1"/>
      <protection hidden="1"/>
    </xf>
    <xf numFmtId="0" fontId="5" fillId="0" borderId="125" xfId="1" applyBorder="1" applyAlignment="1" applyProtection="1">
      <alignment horizontal="justify"/>
      <protection hidden="1"/>
    </xf>
    <xf numFmtId="0" fontId="9" fillId="9" borderId="7" xfId="1" applyFont="1" applyFill="1" applyBorder="1" applyAlignment="1" applyProtection="1">
      <alignment horizontal="justify" vertical="top" wrapText="1"/>
      <protection hidden="1"/>
    </xf>
    <xf numFmtId="0" fontId="0" fillId="0" borderId="11" xfId="0" applyBorder="1" applyAlignment="1">
      <alignment horizontal="justify" vertical="top"/>
    </xf>
    <xf numFmtId="0" fontId="9" fillId="9" borderId="16" xfId="1" applyFont="1" applyFill="1" applyBorder="1" applyAlignment="1" applyProtection="1">
      <alignment vertical="top" wrapText="1"/>
      <protection hidden="1"/>
    </xf>
    <xf numFmtId="0" fontId="5" fillId="0" borderId="0" xfId="1" applyAlignment="1" applyProtection="1">
      <alignment vertical="top"/>
      <protection hidden="1"/>
    </xf>
    <xf numFmtId="0" fontId="9" fillId="9" borderId="15" xfId="1" applyFont="1" applyFill="1" applyBorder="1" applyAlignment="1" applyProtection="1">
      <alignment vertical="top" wrapText="1"/>
      <protection hidden="1"/>
    </xf>
    <xf numFmtId="0" fontId="5" fillId="0" borderId="23" xfId="1" applyBorder="1" applyAlignment="1" applyProtection="1">
      <alignment vertical="top"/>
      <protection hidden="1"/>
    </xf>
    <xf numFmtId="0" fontId="0" fillId="0" borderId="16" xfId="0" applyBorder="1" applyAlignment="1">
      <alignment vertical="top"/>
    </xf>
    <xf numFmtId="0" fontId="9" fillId="9" borderId="3" xfId="1" applyFont="1" applyFill="1" applyBorder="1" applyAlignment="1" applyProtection="1">
      <alignment vertical="center" wrapText="1"/>
      <protection hidden="1"/>
    </xf>
    <xf numFmtId="0" fontId="0" fillId="0" borderId="3" xfId="0" applyBorder="1" applyAlignment="1" applyProtection="1">
      <alignment vertical="center" wrapText="1"/>
      <protection hidden="1"/>
    </xf>
    <xf numFmtId="0" fontId="9" fillId="9" borderId="3" xfId="1" applyFont="1" applyFill="1" applyBorder="1" applyAlignment="1" applyProtection="1">
      <alignment horizontal="left" vertical="center" wrapText="1" indent="1"/>
      <protection hidden="1"/>
    </xf>
    <xf numFmtId="0" fontId="21" fillId="55" borderId="31" xfId="1" applyFont="1" applyFill="1" applyBorder="1" applyAlignment="1" applyProtection="1">
      <alignment horizontal="left" vertical="center" wrapText="1"/>
      <protection hidden="1"/>
    </xf>
    <xf numFmtId="0" fontId="0" fillId="55" borderId="28" xfId="0" applyFill="1" applyBorder="1" applyAlignment="1" applyProtection="1">
      <alignment horizontal="left" vertical="center" wrapText="1"/>
      <protection hidden="1"/>
    </xf>
    <xf numFmtId="0" fontId="0" fillId="55" borderId="22" xfId="0" applyFill="1" applyBorder="1" applyAlignment="1" applyProtection="1">
      <alignment horizontal="left" vertical="center" wrapText="1"/>
      <protection hidden="1"/>
    </xf>
    <xf numFmtId="0" fontId="9" fillId="9" borderId="7" xfId="1" applyFont="1" applyFill="1" applyBorder="1" applyAlignment="1" applyProtection="1">
      <alignment vertical="center"/>
      <protection hidden="1"/>
    </xf>
    <xf numFmtId="0" fontId="5" fillId="9" borderId="11" xfId="1" applyFill="1" applyBorder="1" applyProtection="1">
      <protection hidden="1"/>
    </xf>
    <xf numFmtId="0" fontId="0" fillId="0" borderId="11" xfId="0" applyBorder="1"/>
    <xf numFmtId="0" fontId="9" fillId="9" borderId="31" xfId="1" applyFont="1" applyFill="1" applyBorder="1" applyAlignment="1" applyProtection="1">
      <alignment vertical="center" wrapText="1"/>
      <protection hidden="1"/>
    </xf>
    <xf numFmtId="0" fontId="5" fillId="9" borderId="28" xfId="1" applyFill="1" applyBorder="1" applyProtection="1">
      <protection hidden="1"/>
    </xf>
    <xf numFmtId="0" fontId="5" fillId="9" borderId="0" xfId="1" applyFill="1" applyAlignment="1" applyProtection="1">
      <alignment vertical="top" wrapText="1"/>
      <protection hidden="1"/>
    </xf>
    <xf numFmtId="0" fontId="5" fillId="9" borderId="0" xfId="1" applyFill="1" applyProtection="1">
      <protection hidden="1"/>
    </xf>
    <xf numFmtId="0" fontId="9" fillId="9" borderId="7" xfId="1" applyFont="1" applyFill="1" applyBorder="1" applyAlignment="1" applyProtection="1">
      <alignment vertical="center" wrapText="1"/>
      <protection hidden="1"/>
    </xf>
    <xf numFmtId="0" fontId="9" fillId="9" borderId="31" xfId="16" applyFont="1" applyFill="1" applyBorder="1" applyAlignment="1" applyProtection="1">
      <alignment vertical="center" wrapText="1"/>
      <protection hidden="1"/>
    </xf>
    <xf numFmtId="0" fontId="1" fillId="0" borderId="28" xfId="16" applyBorder="1"/>
    <xf numFmtId="0" fontId="9" fillId="9" borderId="15" xfId="1" applyFont="1" applyFill="1" applyBorder="1" applyAlignment="1" applyProtection="1">
      <alignment vertical="center" wrapText="1"/>
      <protection hidden="1"/>
    </xf>
    <xf numFmtId="0" fontId="0" fillId="0" borderId="23" xfId="0" applyBorder="1" applyProtection="1">
      <protection hidden="1"/>
    </xf>
    <xf numFmtId="0" fontId="5" fillId="0" borderId="44" xfId="1" applyBorder="1" applyProtection="1">
      <protection hidden="1"/>
    </xf>
    <xf numFmtId="0" fontId="5" fillId="0" borderId="7" xfId="1" applyBorder="1" applyProtection="1">
      <protection hidden="1"/>
    </xf>
    <xf numFmtId="0" fontId="5" fillId="0" borderId="11" xfId="1" applyBorder="1" applyProtection="1">
      <protection hidden="1"/>
    </xf>
    <xf numFmtId="0" fontId="7" fillId="9" borderId="0" xfId="1" applyFont="1" applyFill="1" applyAlignment="1" applyProtection="1">
      <alignment horizontal="left" vertical="top" wrapText="1"/>
      <protection hidden="1"/>
    </xf>
    <xf numFmtId="0" fontId="5" fillId="0" borderId="0" xfId="1" applyAlignment="1" applyProtection="1">
      <alignment horizontal="left" wrapText="1"/>
      <protection hidden="1"/>
    </xf>
    <xf numFmtId="0" fontId="5" fillId="0" borderId="11" xfId="1" applyBorder="1" applyAlignment="1" applyProtection="1">
      <alignment horizontal="left" wrapText="1"/>
      <protection hidden="1"/>
    </xf>
    <xf numFmtId="0" fontId="9" fillId="9" borderId="16" xfId="1" applyFont="1" applyFill="1" applyBorder="1" applyAlignment="1" applyProtection="1">
      <alignment wrapText="1"/>
      <protection hidden="1"/>
    </xf>
    <xf numFmtId="0" fontId="0" fillId="0" borderId="16" xfId="0" applyBorder="1" applyProtection="1">
      <protection hidden="1"/>
    </xf>
    <xf numFmtId="0" fontId="9" fillId="9" borderId="7" xfId="1" applyFont="1" applyFill="1" applyBorder="1" applyAlignment="1" applyProtection="1">
      <alignment horizontal="justify" vertical="center" wrapText="1"/>
      <protection hidden="1"/>
    </xf>
    <xf numFmtId="0" fontId="5" fillId="0" borderId="11" xfId="1" applyBorder="1" applyAlignment="1" applyProtection="1">
      <alignment horizontal="justify"/>
      <protection hidden="1"/>
    </xf>
    <xf numFmtId="0" fontId="5" fillId="9" borderId="23" xfId="1" applyFill="1" applyBorder="1" applyAlignment="1" applyProtection="1">
      <alignment wrapText="1"/>
      <protection hidden="1"/>
    </xf>
    <xf numFmtId="0" fontId="9" fillId="9" borderId="132" xfId="1" applyFont="1" applyFill="1" applyBorder="1" applyAlignment="1" applyProtection="1">
      <alignment horizontal="justify" vertical="center" wrapText="1"/>
      <protection hidden="1"/>
    </xf>
    <xf numFmtId="0" fontId="5" fillId="0" borderId="44" xfId="1" applyBorder="1" applyAlignment="1" applyProtection="1">
      <alignment horizontal="justify"/>
      <protection hidden="1"/>
    </xf>
    <xf numFmtId="0" fontId="9" fillId="9" borderId="16" xfId="1" applyFont="1" applyFill="1" applyBorder="1" applyAlignment="1" applyProtection="1">
      <alignment horizontal="justify" vertical="center" wrapText="1"/>
      <protection hidden="1"/>
    </xf>
    <xf numFmtId="0" fontId="5" fillId="0" borderId="0" xfId="1" applyAlignment="1" applyProtection="1">
      <alignment horizontal="justify"/>
      <protection hidden="1"/>
    </xf>
    <xf numFmtId="0" fontId="72" fillId="0" borderId="43" xfId="1" applyFont="1" applyBorder="1" applyAlignment="1" applyProtection="1">
      <alignment horizontal="center" vertical="center"/>
      <protection hidden="1"/>
    </xf>
    <xf numFmtId="0" fontId="69" fillId="0" borderId="38" xfId="1" applyFont="1" applyBorder="1" applyAlignment="1" applyProtection="1">
      <alignment horizontal="center" vertical="center"/>
      <protection hidden="1"/>
    </xf>
    <xf numFmtId="0" fontId="9" fillId="9" borderId="3" xfId="1" applyFont="1" applyFill="1" applyBorder="1" applyAlignment="1" applyProtection="1">
      <alignment horizontal="left" vertical="center" wrapText="1"/>
      <protection hidden="1"/>
    </xf>
    <xf numFmtId="0" fontId="5" fillId="9" borderId="3" xfId="1" applyFill="1" applyBorder="1" applyProtection="1">
      <protection hidden="1"/>
    </xf>
    <xf numFmtId="0" fontId="0" fillId="0" borderId="3" xfId="0" applyBorder="1" applyProtection="1">
      <protection hidden="1"/>
    </xf>
    <xf numFmtId="0" fontId="14" fillId="28" borderId="43" xfId="0" applyFont="1" applyFill="1" applyBorder="1" applyAlignment="1" applyProtection="1">
      <alignment horizontal="center" vertical="center"/>
      <protection hidden="1"/>
    </xf>
    <xf numFmtId="0" fontId="14" fillId="28" borderId="38" xfId="0" applyFont="1" applyFill="1" applyBorder="1" applyAlignment="1" applyProtection="1">
      <alignment horizontal="center" vertical="center"/>
      <protection hidden="1"/>
    </xf>
    <xf numFmtId="0" fontId="0" fillId="28" borderId="53" xfId="0" applyFill="1" applyBorder="1" applyAlignment="1" applyProtection="1">
      <alignment horizontal="center" vertical="center"/>
      <protection hidden="1"/>
    </xf>
    <xf numFmtId="0" fontId="9" fillId="9" borderId="3" xfId="1" applyFont="1" applyFill="1" applyBorder="1" applyAlignment="1" applyProtection="1">
      <alignment horizontal="justify" vertical="center"/>
      <protection hidden="1"/>
    </xf>
    <xf numFmtId="0" fontId="9" fillId="9" borderId="5" xfId="1" applyFont="1" applyFill="1" applyBorder="1" applyAlignment="1" applyProtection="1">
      <alignment horizontal="justify" vertical="center"/>
      <protection hidden="1"/>
    </xf>
    <xf numFmtId="0" fontId="9" fillId="9" borderId="58" xfId="1" applyFont="1" applyFill="1" applyBorder="1" applyAlignment="1" applyProtection="1">
      <alignment horizontal="justify" vertical="center"/>
      <protection hidden="1"/>
    </xf>
    <xf numFmtId="0" fontId="72" fillId="0" borderId="43" xfId="1" applyFont="1" applyBorder="1" applyAlignment="1" applyProtection="1">
      <alignment horizontal="center" vertical="top"/>
      <protection hidden="1"/>
    </xf>
    <xf numFmtId="0" fontId="69" fillId="0" borderId="38" xfId="1" applyFont="1" applyBorder="1" applyAlignment="1" applyProtection="1">
      <alignment horizontal="center" vertical="top"/>
      <protection hidden="1"/>
    </xf>
    <xf numFmtId="0" fontId="9" fillId="9" borderId="3" xfId="1" applyFont="1" applyFill="1" applyBorder="1" applyAlignment="1" applyProtection="1">
      <alignment horizontal="justify" vertical="top" wrapText="1"/>
      <protection hidden="1"/>
    </xf>
    <xf numFmtId="0" fontId="5" fillId="9" borderId="3" xfId="1" applyFill="1" applyBorder="1" applyAlignment="1" applyProtection="1">
      <alignment vertical="top" wrapText="1"/>
      <protection hidden="1"/>
    </xf>
    <xf numFmtId="0" fontId="9" fillId="9" borderId="58" xfId="1" applyFont="1" applyFill="1" applyBorder="1" applyAlignment="1" applyProtection="1">
      <alignment horizontal="justify" vertical="top"/>
      <protection hidden="1"/>
    </xf>
    <xf numFmtId="0" fontId="5" fillId="9" borderId="3" xfId="1" applyFill="1" applyBorder="1" applyAlignment="1" applyProtection="1">
      <alignment horizontal="justify" vertical="top"/>
      <protection hidden="1"/>
    </xf>
    <xf numFmtId="0" fontId="99" fillId="28" borderId="38" xfId="0" applyFont="1" applyFill="1" applyBorder="1" applyAlignment="1" applyProtection="1">
      <alignment horizontal="center" vertical="center"/>
      <protection hidden="1"/>
    </xf>
    <xf numFmtId="0" fontId="99" fillId="0" borderId="14" xfId="0" applyFont="1" applyBorder="1" applyAlignment="1">
      <alignment horizontal="center" vertical="center"/>
    </xf>
    <xf numFmtId="0" fontId="72" fillId="0" borderId="38" xfId="1" applyFont="1" applyBorder="1" applyAlignment="1" applyProtection="1">
      <alignment horizontal="center" vertical="top"/>
      <protection hidden="1"/>
    </xf>
    <xf numFmtId="0" fontId="0" fillId="0" borderId="38" xfId="0" applyBorder="1" applyAlignment="1">
      <alignment horizontal="center" vertical="top"/>
    </xf>
    <xf numFmtId="1" fontId="5" fillId="9" borderId="171" xfId="1" quotePrefix="1" applyNumberFormat="1" applyFill="1" applyBorder="1" applyAlignment="1" applyProtection="1">
      <alignment vertical="center"/>
      <protection hidden="1"/>
    </xf>
    <xf numFmtId="0" fontId="0" fillId="0" borderId="165" xfId="0" applyBorder="1" applyAlignment="1">
      <alignment vertical="center"/>
    </xf>
    <xf numFmtId="0" fontId="9" fillId="9" borderId="38" xfId="1" applyFont="1" applyFill="1" applyBorder="1" applyAlignment="1" applyProtection="1">
      <alignment vertical="top" wrapText="1"/>
      <protection hidden="1"/>
    </xf>
    <xf numFmtId="0" fontId="5" fillId="9" borderId="38" xfId="1" applyFill="1" applyBorder="1" applyAlignment="1" applyProtection="1">
      <alignment vertical="top" wrapText="1"/>
      <protection hidden="1"/>
    </xf>
    <xf numFmtId="0" fontId="5" fillId="9" borderId="38" xfId="1" applyFill="1" applyBorder="1" applyAlignment="1" applyProtection="1">
      <alignment horizontal="center" vertical="top" wrapText="1"/>
      <protection hidden="1"/>
    </xf>
    <xf numFmtId="0" fontId="5" fillId="0" borderId="38" xfId="1" applyBorder="1" applyAlignment="1" applyProtection="1">
      <alignment horizontal="center" vertical="top" wrapText="1"/>
      <protection hidden="1"/>
    </xf>
    <xf numFmtId="0" fontId="9" fillId="9" borderId="38" xfId="1" applyFont="1" applyFill="1" applyBorder="1" applyAlignment="1" applyProtection="1">
      <alignment horizontal="center" vertical="top"/>
      <protection hidden="1"/>
    </xf>
    <xf numFmtId="0" fontId="5" fillId="0" borderId="38" xfId="1" applyBorder="1" applyAlignment="1" applyProtection="1">
      <alignment horizontal="center" vertical="top"/>
      <protection hidden="1"/>
    </xf>
    <xf numFmtId="0" fontId="5" fillId="0" borderId="130" xfId="1" applyBorder="1" applyProtection="1">
      <protection hidden="1"/>
    </xf>
    <xf numFmtId="0" fontId="5" fillId="0" borderId="125" xfId="1" applyBorder="1" applyProtection="1">
      <protection hidden="1"/>
    </xf>
    <xf numFmtId="0" fontId="5" fillId="9" borderId="125" xfId="1" applyFill="1" applyBorder="1" applyAlignment="1" applyProtection="1">
      <alignment wrapText="1"/>
      <protection hidden="1"/>
    </xf>
  </cellXfs>
  <cellStyles count="24">
    <cellStyle name="Normal" xfId="0" builtinId="0"/>
    <cellStyle name="Normal 2" xfId="1" xr:uid="{00000000-0005-0000-0000-000001000000}"/>
    <cellStyle name="Normal 2 2" xfId="16" xr:uid="{00000000-0005-0000-0000-000002000000}"/>
    <cellStyle name="Normal 3" xfId="2" xr:uid="{00000000-0005-0000-0000-000003000000}"/>
    <cellStyle name="Normal 3 2" xfId="17" xr:uid="{00000000-0005-0000-0000-000004000000}"/>
    <cellStyle name="Normal 3 3" xfId="11" xr:uid="{00000000-0005-0000-0000-000005000000}"/>
    <cellStyle name="Normal 4" xfId="3" xr:uid="{00000000-0005-0000-0000-000006000000}"/>
    <cellStyle name="Normal 4 2" xfId="18" xr:uid="{00000000-0005-0000-0000-000007000000}"/>
    <cellStyle name="Normal 4 3" xfId="12" xr:uid="{00000000-0005-0000-0000-000008000000}"/>
    <cellStyle name="Normal 5" xfId="4" xr:uid="{00000000-0005-0000-0000-000009000000}"/>
    <cellStyle name="Normal 5 2" xfId="19" xr:uid="{00000000-0005-0000-0000-00000A000000}"/>
    <cellStyle name="Normal 5 3" xfId="13" xr:uid="{00000000-0005-0000-0000-00000B000000}"/>
    <cellStyle name="Normal 6" xfId="5" xr:uid="{00000000-0005-0000-0000-00000C000000}"/>
    <cellStyle name="Normal 6 2" xfId="20" xr:uid="{00000000-0005-0000-0000-00000D000000}"/>
    <cellStyle name="Normal 6 3" xfId="14" xr:uid="{00000000-0005-0000-0000-00000E000000}"/>
    <cellStyle name="Normal 7" xfId="15" xr:uid="{00000000-0005-0000-0000-00000F000000}"/>
    <cellStyle name="Normal 8" xfId="10" xr:uid="{00000000-0005-0000-0000-000010000000}"/>
    <cellStyle name="Percentagem" xfId="6" builtinId="5"/>
    <cellStyle name="Percentagem 2" xfId="7" xr:uid="{00000000-0005-0000-0000-000012000000}"/>
    <cellStyle name="Percentagem 2 2" xfId="21" xr:uid="{00000000-0005-0000-0000-000013000000}"/>
    <cellStyle name="Percentagem 3" xfId="8" xr:uid="{00000000-0005-0000-0000-000014000000}"/>
    <cellStyle name="Percentagem 3 2" xfId="22" xr:uid="{00000000-0005-0000-0000-000015000000}"/>
    <cellStyle name="Percentagem 4" xfId="9" xr:uid="{00000000-0005-0000-0000-000016000000}"/>
    <cellStyle name="Percentagem 4 2" xfId="23" xr:uid="{00000000-0005-0000-0000-000017000000}"/>
  </cellStyles>
  <dxfs count="361"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indexed="10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ont>
        <color theme="0"/>
      </font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strike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strike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strike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strike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strike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strike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strike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strike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strike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strike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strike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strike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strike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strike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strike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strike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strike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strike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strike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strike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color theme="0"/>
      </font>
      <fill>
        <patternFill>
          <bgColor indexed="10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6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theme="5" tint="-0.49998474074526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2" tint="-0.499984740745262"/>
        </patternFill>
      </fill>
    </dxf>
    <dxf>
      <font>
        <b/>
        <i val="0"/>
        <color theme="0"/>
      </font>
      <fill>
        <patternFill>
          <bgColor theme="2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lor theme="0"/>
      </font>
      <fill>
        <patternFill>
          <bgColor indexed="10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b/>
        <i val="0"/>
        <condense val="0"/>
        <extend val="0"/>
        <color indexed="9"/>
      </font>
      <fill>
        <patternFill>
          <bgColor indexed="57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b val="0"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b val="0"/>
        <i val="0"/>
        <condense val="0"/>
        <extend val="0"/>
        <color indexed="9"/>
      </font>
      <fill>
        <patternFill>
          <bgColor indexed="57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b val="0"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EAEAEA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Curvas da instalação</a:t>
            </a:r>
            <a:r>
              <a:rPr lang="en-US" sz="1400" baseline="0"/>
              <a:t> e fonte de pressão</a:t>
            </a:r>
            <a:endParaRPr lang="en-US" sz="1400"/>
          </a:p>
        </c:rich>
      </c:tx>
      <c:layout>
        <c:manualLayout>
          <c:xMode val="edge"/>
          <c:yMode val="edge"/>
          <c:x val="0.26313856975464683"/>
          <c:y val="2.200233429750628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18491822250473E-2"/>
          <c:y val="9.8958982845691171E-2"/>
          <c:w val="0.64282179271219819"/>
          <c:h val="0.79126508913458538"/>
        </c:manualLayout>
      </c:layout>
      <c:scatterChart>
        <c:scatterStyle val="smoothMarker"/>
        <c:varyColors val="0"/>
        <c:ser>
          <c:idx val="3"/>
          <c:order val="4"/>
          <c:tx>
            <c:strRef>
              <c:f>'Curvas da Instalação'!$C$112</c:f>
              <c:strCache>
                <c:ptCount val="1"/>
                <c:pt idx="0">
                  <c:v>Limites da curva da fonte pressão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Ref>
              <c:f>'Curvas da Instalação'!$G$112:$I$112</c:f>
            </c:numRef>
          </c:xVal>
          <c:yVal>
            <c:numRef>
              <c:f>'Curvas da Instalação'!$G$113:$I$113</c:f>
              <c:numCache>
                <c:formatCode>0</c:formatCode>
                <c:ptCount val="3"/>
                <c:pt idx="0" formatCode="0.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73-4379-8013-1FA11D19E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821184"/>
        <c:axId val="179852416"/>
      </c:scatterChart>
      <c:scatterChart>
        <c:scatterStyle val="lineMarker"/>
        <c:varyColors val="0"/>
        <c:ser>
          <c:idx val="0"/>
          <c:order val="0"/>
          <c:tx>
            <c:strRef>
              <c:f>'Curvas da Instalação'!$C$103</c:f>
              <c:strCache>
                <c:ptCount val="1"/>
                <c:pt idx="0">
                  <c:v>Curvas da instalação mais críticas em pressão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19050">
                <a:solidFill>
                  <a:schemeClr val="accent2">
                    <a:lumMod val="50000"/>
                  </a:schemeClr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'Curvas da Instalação'!$F$106:$Q$106</c:f>
            </c:numRef>
          </c:xVal>
          <c:yVal>
            <c:numRef>
              <c:f>'Curvas da Instalação'!$F$107:$Q$107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73-4379-8013-1FA11D19E4F5}"/>
            </c:ext>
          </c:extLst>
        </c:ser>
        <c:ser>
          <c:idx val="2"/>
          <c:order val="1"/>
          <c:tx>
            <c:strRef>
              <c:f>'Curvas da Instalação'!$C$109</c:f>
              <c:strCache>
                <c:ptCount val="1"/>
                <c:pt idx="0">
                  <c:v>Curva prevista da fonte de pressão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chemeClr val="tx2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'Curvas da Instalação'!$F$110:$I$110</c:f>
            </c:numRef>
          </c:xVal>
          <c:yVal>
            <c:numRef>
              <c:f>'Curvas da Instalação'!$F$111:$I$111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 formatCode="0">
                  <c:v>0</c:v>
                </c:pt>
                <c:pt idx="3" formatCode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273-4379-8013-1FA11D19E4F5}"/>
            </c:ext>
          </c:extLst>
        </c:ser>
        <c:ser>
          <c:idx val="1"/>
          <c:order val="2"/>
          <c:tx>
            <c:strRef>
              <c:f>'Curvas da Instalação'!$C$100</c:f>
              <c:strCache>
                <c:ptCount val="1"/>
                <c:pt idx="0">
                  <c:v>Ponto de func. mais crítico em pressão (18 Sprinklers)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accent6"/>
              </a:solidFill>
            </c:spPr>
          </c:marker>
          <c:dLbls>
            <c:dLbl>
              <c:idx val="0"/>
              <c:layout>
                <c:manualLayout>
                  <c:x val="2.5474925020633546E-3"/>
                  <c:y val="-5.3107426732924125E-3"/>
                </c:manualLayout>
              </c:layout>
              <c:numFmt formatCode="General" sourceLinked="0"/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pt-PT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73-4379-8013-1FA11D19E4F5}"/>
                </c:ext>
              </c:extLst>
            </c:dLbl>
            <c:numFmt formatCode="General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>
                  <a:defRPr b="1"/>
                </a:pPr>
                <a:endParaRPr lang="pt-PT"/>
              </a:p>
            </c:txPr>
            <c:dLblPos val="t"/>
            <c:showLegendKey val="0"/>
            <c:showVal val="1"/>
            <c:showCatName val="1"/>
            <c:showSerName val="0"/>
            <c:showPercent val="0"/>
            <c:showBubbleSize val="0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'Curvas da Instalação'!$G$103</c:f>
            </c:numRef>
          </c:xVal>
          <c:yVal>
            <c:numRef>
              <c:f>'Curvas da Instalação'!$G$104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273-4379-8013-1FA11D19E4F5}"/>
            </c:ext>
          </c:extLst>
        </c:ser>
        <c:ser>
          <c:idx val="4"/>
          <c:order val="3"/>
          <c:tx>
            <c:v>Limite inferior</c:v>
          </c:tx>
          <c:spPr>
            <a:ln w="1905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Ref>
              <c:f>'Curvas da Instalação'!$G$114:$I$114</c:f>
            </c:numRef>
          </c:xVal>
          <c:yVal>
            <c:numRef>
              <c:f>'Curvas da Instalação'!$G$115:$I$115</c:f>
              <c:numCache>
                <c:formatCode>0</c:formatCode>
                <c:ptCount val="3"/>
                <c:pt idx="0" formatCode="0.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273-4379-8013-1FA11D19E4F5}"/>
            </c:ext>
          </c:extLst>
        </c:ser>
        <c:ser>
          <c:idx val="5"/>
          <c:order val="5"/>
          <c:tx>
            <c:strRef>
              <c:f>'Curvas da Instalação'!$C$117</c:f>
              <c:strCache>
                <c:ptCount val="1"/>
                <c:pt idx="0">
                  <c:v>Apenas 1 sprinkler crítico em func. (posição teórica)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trendlineType val="power"/>
            <c:dispRSqr val="0"/>
            <c:dispEq val="0"/>
          </c:trendline>
          <c:trendline>
            <c:spPr>
              <a:ln w="19050">
                <a:solidFill>
                  <a:schemeClr val="accent2">
                    <a:lumMod val="50000"/>
                  </a:schemeClr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'Curvas da Instalação'!$F$123:$Q$123</c:f>
            </c:numRef>
          </c:xVal>
          <c:yVal>
            <c:numRef>
              <c:f>'Curvas da Instalação'!$F$124:$Q$124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273-4379-8013-1FA11D19E4F5}"/>
            </c:ext>
          </c:extLst>
        </c:ser>
        <c:ser>
          <c:idx val="6"/>
          <c:order val="6"/>
          <c:tx>
            <c:strRef>
              <c:f>'Curvas da Instalação'!$C$117</c:f>
              <c:strCache>
                <c:ptCount val="1"/>
                <c:pt idx="0">
                  <c:v>Apenas 1 sprinkler crítico em func. (posição teórica)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2">
                  <a:lumMod val="50000"/>
                </a:schemeClr>
              </a:solidFill>
            </c:spPr>
          </c:marker>
          <c:dLbls>
            <c:dLbl>
              <c:idx val="0"/>
              <c:layout>
                <c:manualLayout>
                  <c:x val="-3.6429474633499024E-3"/>
                  <c:y val="0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73-4379-8013-1FA11D19E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/>
                </a:pPr>
                <a:endParaRPr lang="pt-PT"/>
              </a:p>
            </c:txPr>
            <c:dLblPos val="l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'Curvas da Instalação'!$F$123</c:f>
            </c:numRef>
          </c:xVal>
          <c:yVal>
            <c:numRef>
              <c:f>'Curvas da Instalação'!$F$124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6273-4379-8013-1FA11D19E4F5}"/>
            </c:ext>
          </c:extLst>
        </c:ser>
        <c:ser>
          <c:idx val="7"/>
          <c:order val="7"/>
          <c:tx>
            <c:strRef>
              <c:f>'Curvas da Instalação'!$C$129</c:f>
              <c:strCache>
                <c:ptCount val="1"/>
                <c:pt idx="0">
                  <c:v>Curvas da instalação mais críticas em caudal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00B05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'Curvas da Instalação'!$G$132:$Q$132</c:f>
            </c:numRef>
          </c:xVal>
          <c:yVal>
            <c:numRef>
              <c:f>'Curvas da Instalação'!$G$133:$Q$133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273-4379-8013-1FA11D19E4F5}"/>
            </c:ext>
          </c:extLst>
        </c:ser>
        <c:ser>
          <c:idx val="8"/>
          <c:order val="8"/>
          <c:tx>
            <c:strRef>
              <c:f>'Curvas da Instalação'!$C$126</c:f>
              <c:strCache>
                <c:ptCount val="1"/>
                <c:pt idx="0">
                  <c:v>Total de sprinklers menos críticas em funcionamento simultâneo (posição teórica)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5"/>
            <c:spPr>
              <a:solidFill>
                <a:srgbClr val="00B050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'Curvas da Instalação'!$F$132</c:f>
            </c:numRef>
          </c:xVal>
          <c:yVal>
            <c:numRef>
              <c:f>'Curvas da Instalação'!$F$133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273-4379-8013-1FA11D19E4F5}"/>
            </c:ext>
          </c:extLst>
        </c:ser>
        <c:ser>
          <c:idx val="9"/>
          <c:order val="9"/>
          <c:tx>
            <c:strRef>
              <c:f>'Curvas da Instalação'!$C$135</c:f>
              <c:strCache>
                <c:ptCount val="1"/>
                <c:pt idx="0">
                  <c:v>Apenas 1 sprinkler menos crítico em funcionamento (posição teórica)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00B05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'Curvas da Instalação'!$G$141:$Q$141</c:f>
            </c:numRef>
          </c:xVal>
          <c:yVal>
            <c:numRef>
              <c:f>'Curvas da Instalação'!$G$142:$Q$142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273-4379-8013-1FA11D19E4F5}"/>
            </c:ext>
          </c:extLst>
        </c:ser>
        <c:ser>
          <c:idx val="10"/>
          <c:order val="10"/>
          <c:tx>
            <c:strRef>
              <c:f>'Curvas da Instalação'!$C$135</c:f>
              <c:strCache>
                <c:ptCount val="1"/>
                <c:pt idx="0">
                  <c:v>Apenas 1 sprinkler menos crítico em funcionamento (posição teórica)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'Curvas da Instalação'!$F$141</c:f>
            </c:numRef>
          </c:xVal>
          <c:yVal>
            <c:numRef>
              <c:f>'Curvas da Instalação'!$F$142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6273-4379-8013-1FA11D19E4F5}"/>
            </c:ext>
          </c:extLst>
        </c:ser>
        <c:ser>
          <c:idx val="11"/>
          <c:order val="11"/>
          <c:tx>
            <c:strRef>
              <c:f>'Curvas da Instalação'!$C$35</c:f>
              <c:strCache>
                <c:ptCount val="1"/>
                <c:pt idx="0">
                  <c:v>Previsão: func. mais crítico em caudal (18 Sprinklers)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5.294611794477344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73-4379-8013-1FA11D19E4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'Curvas da Instalação'!$T$124</c:f>
            </c:numRef>
          </c:xVal>
          <c:yVal>
            <c:numRef>
              <c:f>'Curvas da Instalação'!$T$123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6273-4379-8013-1FA11D19E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821184"/>
        <c:axId val="179852416"/>
      </c:scatterChart>
      <c:valAx>
        <c:axId val="179821184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pt-PT" sz="1100"/>
                  <a:t>Caudal máximo - Q</a:t>
                </a:r>
                <a:r>
                  <a:rPr lang="pt-PT" sz="1200" baseline="-25000"/>
                  <a:t>máx</a:t>
                </a:r>
                <a:r>
                  <a:rPr lang="pt-PT" sz="1100" baseline="-25000"/>
                  <a:t>.</a:t>
                </a:r>
              </a:p>
            </c:rich>
          </c:tx>
          <c:layout>
            <c:manualLayout>
              <c:xMode val="edge"/>
              <c:yMode val="edge"/>
              <c:x val="0.35308196700920125"/>
              <c:y val="0.9394462443617204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179852416"/>
        <c:crosses val="autoZero"/>
        <c:crossBetween val="midCat"/>
      </c:valAx>
      <c:valAx>
        <c:axId val="179852416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pt-PT" sz="1100"/>
                  <a:t>Pressão total - P</a:t>
                </a:r>
                <a:r>
                  <a:rPr lang="pt-PT" sz="1200" baseline="-25000"/>
                  <a:t>total</a:t>
                </a:r>
              </a:p>
            </c:rich>
          </c:tx>
          <c:layout>
            <c:manualLayout>
              <c:xMode val="edge"/>
              <c:yMode val="edge"/>
              <c:x val="3.5287322128271245E-3"/>
              <c:y val="0.36368354727381247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179821184"/>
        <c:crosses val="autoZero"/>
        <c:crossBetween val="midCat"/>
      </c:valAx>
      <c:spPr>
        <a:solidFill>
          <a:schemeClr val="bg1">
            <a:lumMod val="85000"/>
            <a:alpha val="74000"/>
          </a:schemeClr>
        </a:solidFill>
        <a:ln w="19050">
          <a:solidFill>
            <a:schemeClr val="accent2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ayout>
        <c:manualLayout>
          <c:xMode val="edge"/>
          <c:yMode val="edge"/>
          <c:x val="0.74079332580604063"/>
          <c:y val="0.10993251533869212"/>
          <c:w val="0.23676433836245897"/>
          <c:h val="0.73401629677035474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/>
              <a:t>Curvas de densidade - Riscos Ligeiro e Ordinários</a:t>
            </a:r>
          </a:p>
        </c:rich>
      </c:tx>
      <c:layout>
        <c:manualLayout>
          <c:xMode val="edge"/>
          <c:yMode val="edge"/>
          <c:x val="0.11359047664680859"/>
          <c:y val="3.88768898488120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93117109372138"/>
          <c:y val="0.11663079254563537"/>
          <c:w val="0.80121783208852859"/>
          <c:h val="0.74298134510552893"/>
        </c:manualLayout>
      </c:layout>
      <c:scatterChart>
        <c:scatterStyle val="lineMarker"/>
        <c:varyColors val="0"/>
        <c:ser>
          <c:idx val="0"/>
          <c:order val="0"/>
          <c:tx>
            <c:strRef>
              <c:f>'Gráficos 1 e 2-NFPA 13'!$C$8</c:f>
              <c:strCache>
                <c:ptCount val="1"/>
                <c:pt idx="0">
                  <c:v>Ligeiro</c:v>
                </c:pt>
              </c:strCache>
            </c:strRef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3366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xVal>
            <c:numRef>
              <c:f>'Gráficos 1 e 2-NFPA 13'!$B$10:$B$13</c:f>
              <c:numCache>
                <c:formatCode>0.0</c:formatCode>
                <c:ptCount val="4"/>
                <c:pt idx="0">
                  <c:v>139</c:v>
                </c:pt>
                <c:pt idx="1">
                  <c:v>241.8</c:v>
                </c:pt>
                <c:pt idx="2">
                  <c:v>279</c:v>
                </c:pt>
                <c:pt idx="3">
                  <c:v>372</c:v>
                </c:pt>
              </c:numCache>
            </c:numRef>
          </c:xVal>
          <c:yVal>
            <c:numRef>
              <c:f>'Gráficos 1 e 2-NFPA 13'!$C$10:$C$13</c:f>
              <c:numCache>
                <c:formatCode>0.00</c:formatCode>
                <c:ptCount val="4"/>
                <c:pt idx="0">
                  <c:v>4.0999999999999996</c:v>
                </c:pt>
                <c:pt idx="1">
                  <c:v>3.1</c:v>
                </c:pt>
                <c:pt idx="2">
                  <c:v>2.8000000000000003</c:v>
                </c:pt>
                <c:pt idx="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6B-4495-9662-54AE1791F8C1}"/>
            </c:ext>
          </c:extLst>
        </c:ser>
        <c:ser>
          <c:idx val="1"/>
          <c:order val="1"/>
          <c:tx>
            <c:strRef>
              <c:f>'Gráficos 1 e 2-NFPA 13'!$D$8</c:f>
              <c:strCache>
                <c:ptCount val="1"/>
                <c:pt idx="0">
                  <c:v>Ordinário G1</c:v>
                </c:pt>
              </c:strCache>
            </c:strRef>
          </c:tx>
          <c:spPr>
            <a:ln w="3175">
              <a:solidFill>
                <a:srgbClr val="FF99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9900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xVal>
            <c:numRef>
              <c:f>'Gráficos 1 e 2-NFPA 13'!$B$10:$B$14</c:f>
              <c:numCache>
                <c:formatCode>0.0</c:formatCode>
                <c:ptCount val="5"/>
                <c:pt idx="0">
                  <c:v>139</c:v>
                </c:pt>
                <c:pt idx="1">
                  <c:v>241.8</c:v>
                </c:pt>
                <c:pt idx="2">
                  <c:v>279</c:v>
                </c:pt>
                <c:pt idx="3">
                  <c:v>372</c:v>
                </c:pt>
                <c:pt idx="4">
                  <c:v>465</c:v>
                </c:pt>
              </c:numCache>
            </c:numRef>
          </c:xVal>
          <c:yVal>
            <c:numRef>
              <c:f>'Gráficos 1 e 2-NFPA 13'!$D$10:$D$14</c:f>
              <c:numCache>
                <c:formatCode>0.00</c:formatCode>
                <c:ptCount val="5"/>
                <c:pt idx="0">
                  <c:v>6.52</c:v>
                </c:pt>
                <c:pt idx="1">
                  <c:v>5.3</c:v>
                </c:pt>
                <c:pt idx="2">
                  <c:v>4.9000000000000004</c:v>
                </c:pt>
                <c:pt idx="3">
                  <c:v>4.0199999999999996</c:v>
                </c:pt>
                <c:pt idx="4">
                  <c:v>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6B-4495-9662-54AE1791F8C1}"/>
            </c:ext>
          </c:extLst>
        </c:ser>
        <c:ser>
          <c:idx val="2"/>
          <c:order val="2"/>
          <c:tx>
            <c:strRef>
              <c:f>'Gráficos 1 e 2-NFPA 13'!$E$8</c:f>
              <c:strCache>
                <c:ptCount val="1"/>
                <c:pt idx="0">
                  <c:v>Ordinário G2</c:v>
                </c:pt>
              </c:strCache>
            </c:strRef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xVal>
            <c:numRef>
              <c:f>'Gráficos 1 e 2-NFPA 13'!$B$10:$B$14</c:f>
              <c:numCache>
                <c:formatCode>0.0</c:formatCode>
                <c:ptCount val="5"/>
                <c:pt idx="0">
                  <c:v>139</c:v>
                </c:pt>
                <c:pt idx="1">
                  <c:v>241.8</c:v>
                </c:pt>
                <c:pt idx="2">
                  <c:v>279</c:v>
                </c:pt>
                <c:pt idx="3">
                  <c:v>372</c:v>
                </c:pt>
                <c:pt idx="4">
                  <c:v>465</c:v>
                </c:pt>
              </c:numCache>
            </c:numRef>
          </c:xVal>
          <c:yVal>
            <c:numRef>
              <c:f>'Gráficos 1 e 2-NFPA 13'!$E$10:$E$14</c:f>
              <c:numCache>
                <c:formatCode>0.00</c:formatCode>
                <c:ptCount val="5"/>
                <c:pt idx="0">
                  <c:v>7.7</c:v>
                </c:pt>
                <c:pt idx="1">
                  <c:v>6.78</c:v>
                </c:pt>
                <c:pt idx="2">
                  <c:v>6.42</c:v>
                </c:pt>
                <c:pt idx="3">
                  <c:v>5.64</c:v>
                </c:pt>
                <c:pt idx="4">
                  <c:v>4.9000000000000004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6B-4495-9662-54AE1791F8C1}"/>
            </c:ext>
          </c:extLst>
        </c:ser>
        <c:ser>
          <c:idx val="3"/>
          <c:order val="3"/>
          <c:tx>
            <c:strRef>
              <c:f>'Gráficos 1 e 2-NFPA 13'!$F$8</c:f>
              <c:strCache>
                <c:ptCount val="1"/>
                <c:pt idx="0">
                  <c:v>Ordinário G3</c:v>
                </c:pt>
              </c:strCache>
            </c:strRef>
          </c:tx>
          <c:spPr>
            <a:ln w="3175">
              <a:solidFill>
                <a:srgbClr val="8000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8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800000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xVal>
            <c:numRef>
              <c:f>'Gráficos 1 e 2-NFPA 13'!$B$10:$B$14</c:f>
              <c:numCache>
                <c:formatCode>0.0</c:formatCode>
                <c:ptCount val="5"/>
                <c:pt idx="0">
                  <c:v>139</c:v>
                </c:pt>
                <c:pt idx="1">
                  <c:v>241.8</c:v>
                </c:pt>
                <c:pt idx="2">
                  <c:v>279</c:v>
                </c:pt>
                <c:pt idx="3">
                  <c:v>372</c:v>
                </c:pt>
                <c:pt idx="4">
                  <c:v>465</c:v>
                </c:pt>
              </c:numCache>
            </c:numRef>
          </c:xVal>
          <c:yVal>
            <c:numRef>
              <c:f>'Gráficos 1 e 2-NFPA 13'!$F$10:$F$14</c:f>
              <c:numCache>
                <c:formatCode>0.00</c:formatCode>
                <c:ptCount val="5"/>
                <c:pt idx="0">
                  <c:v>8.5</c:v>
                </c:pt>
                <c:pt idx="1">
                  <c:v>7.6</c:v>
                </c:pt>
                <c:pt idx="2">
                  <c:v>7.3</c:v>
                </c:pt>
                <c:pt idx="3">
                  <c:v>6.64</c:v>
                </c:pt>
                <c:pt idx="4">
                  <c:v>6.1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46B-4495-9662-54AE1791F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624064"/>
        <c:axId val="187627776"/>
      </c:scatterChart>
      <c:valAx>
        <c:axId val="187624064"/>
        <c:scaling>
          <c:orientation val="minMax"/>
          <c:max val="469"/>
          <c:min val="139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 sz="112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Área de Operação (m</a:t>
                </a:r>
                <a:r>
                  <a:rPr lang="pt-PT" sz="1125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pt-PT" sz="112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  <a:endParaRPr lang="pt-PT"/>
              </a:p>
            </c:rich>
          </c:tx>
          <c:layout>
            <c:manualLayout>
              <c:xMode val="edge"/>
              <c:yMode val="edge"/>
              <c:x val="0.37322557804006751"/>
              <c:y val="0.924406954530251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7627776"/>
        <c:crosses val="autoZero"/>
        <c:crossBetween val="midCat"/>
        <c:minorUnit val="10"/>
      </c:valAx>
      <c:valAx>
        <c:axId val="18762777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 sz="112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Densidade (l/min.m</a:t>
                </a:r>
                <a:r>
                  <a:rPr lang="pt-PT" sz="1125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pt-PT" sz="112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  <a:endParaRPr lang="pt-PT"/>
              </a:p>
            </c:rich>
          </c:tx>
          <c:layout>
            <c:manualLayout>
              <c:xMode val="edge"/>
              <c:yMode val="edge"/>
              <c:x val="1.0141987829614604E-2"/>
              <c:y val="0.328294190008106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87624064"/>
        <c:crossesAt val="0"/>
        <c:crossBetween val="midCat"/>
      </c:valAx>
      <c:spPr>
        <a:gradFill rotWithShape="0">
          <a:gsLst>
            <a:gs pos="0">
              <a:srgbClr val="FFFFCC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EAEAEA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7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</c:legendEntry>
      <c:legendEntry>
        <c:idx val="1"/>
        <c:txPr>
          <a:bodyPr/>
          <a:lstStyle/>
          <a:p>
            <a:pPr>
              <a:defRPr sz="7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</c:legendEntry>
      <c:legendEntry>
        <c:idx val="2"/>
        <c:txPr>
          <a:bodyPr/>
          <a:lstStyle/>
          <a:p>
            <a:pPr>
              <a:defRPr sz="7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</c:legendEntry>
      <c:legendEntry>
        <c:idx val="3"/>
        <c:txPr>
          <a:bodyPr/>
          <a:lstStyle/>
          <a:p>
            <a:pPr>
              <a:defRPr sz="7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69574100397693706"/>
          <c:y val="0.14254882286582427"/>
          <c:w val="0.22718074033849212"/>
          <c:h val="0.183585539928459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C0C0C0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/>
              <a:t>Curvas de densidade - Riscos Graves</a:t>
            </a:r>
          </a:p>
        </c:rich>
      </c:tx>
      <c:layout>
        <c:manualLayout>
          <c:xMode val="edge"/>
          <c:yMode val="edge"/>
          <c:x val="0.20366598778004075"/>
          <c:y val="3.87931034482758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45621181262729"/>
          <c:y val="0.11422413793103449"/>
          <c:w val="0.80651731160896134"/>
          <c:h val="0.76077586206896552"/>
        </c:manualLayout>
      </c:layout>
      <c:scatterChart>
        <c:scatterStyle val="lineMarker"/>
        <c:varyColors val="0"/>
        <c:ser>
          <c:idx val="0"/>
          <c:order val="0"/>
          <c:tx>
            <c:strRef>
              <c:f>'Gráficos 1 e 2-NFPA 13'!$J$8</c:f>
              <c:strCache>
                <c:ptCount val="1"/>
                <c:pt idx="0">
                  <c:v>Grave G1</c:v>
                </c:pt>
              </c:strCache>
            </c:strRef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8000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xVal>
            <c:numRef>
              <c:f>'Gráficos 1 e 2-NFPA 13'!$I$10:$I$13</c:f>
              <c:numCache>
                <c:formatCode>0.0</c:formatCode>
                <c:ptCount val="4"/>
                <c:pt idx="0">
                  <c:v>232</c:v>
                </c:pt>
                <c:pt idx="1">
                  <c:v>279</c:v>
                </c:pt>
                <c:pt idx="2">
                  <c:v>372</c:v>
                </c:pt>
                <c:pt idx="3">
                  <c:v>465</c:v>
                </c:pt>
              </c:numCache>
            </c:numRef>
          </c:xVal>
          <c:yVal>
            <c:numRef>
              <c:f>'Gráficos 1 e 2-NFPA 13'!$J$10:$J$13</c:f>
              <c:numCache>
                <c:formatCode>0.00</c:formatCode>
                <c:ptCount val="4"/>
                <c:pt idx="0">
                  <c:v>11.8</c:v>
                </c:pt>
                <c:pt idx="1">
                  <c:v>11.2</c:v>
                </c:pt>
                <c:pt idx="2">
                  <c:v>10.1</c:v>
                </c:pt>
                <c:pt idx="3" formatCode="General">
                  <c:v>8.879999999999999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3B-4109-A118-0D5BA9D3C9A0}"/>
            </c:ext>
          </c:extLst>
        </c:ser>
        <c:ser>
          <c:idx val="1"/>
          <c:order val="1"/>
          <c:tx>
            <c:strRef>
              <c:f>'Gráficos 1 e 2-NFPA 13'!$K$8</c:f>
              <c:strCache>
                <c:ptCount val="1"/>
                <c:pt idx="0">
                  <c:v>Grave G2</c:v>
                </c:pt>
              </c:strCache>
            </c:strRef>
          </c:tx>
          <c:spPr>
            <a:ln w="3175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99CC00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xVal>
            <c:numRef>
              <c:f>'Gráficos 1 e 2-NFPA 13'!$I$10:$I$14</c:f>
              <c:numCache>
                <c:formatCode>0.0</c:formatCode>
                <c:ptCount val="5"/>
                <c:pt idx="0">
                  <c:v>232</c:v>
                </c:pt>
                <c:pt idx="1">
                  <c:v>279</c:v>
                </c:pt>
                <c:pt idx="2">
                  <c:v>372</c:v>
                </c:pt>
                <c:pt idx="3">
                  <c:v>465</c:v>
                </c:pt>
                <c:pt idx="4">
                  <c:v>557</c:v>
                </c:pt>
              </c:numCache>
            </c:numRef>
          </c:xVal>
          <c:yVal>
            <c:numRef>
              <c:f>'Gráficos 1 e 2-NFPA 13'!$K$10:$K$14</c:f>
              <c:numCache>
                <c:formatCode>0.00</c:formatCode>
                <c:ptCount val="5"/>
                <c:pt idx="0">
                  <c:v>15.1</c:v>
                </c:pt>
                <c:pt idx="1">
                  <c:v>14.5</c:v>
                </c:pt>
                <c:pt idx="2">
                  <c:v>13.34</c:v>
                </c:pt>
                <c:pt idx="3">
                  <c:v>12.2</c:v>
                </c:pt>
                <c:pt idx="4">
                  <c:v>11.2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93B-4109-A118-0D5BA9D3C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31520"/>
        <c:axId val="118733440"/>
      </c:scatterChart>
      <c:valAx>
        <c:axId val="118731520"/>
        <c:scaling>
          <c:orientation val="minMax"/>
          <c:max val="562"/>
          <c:min val="23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 sz="112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Área de Operação (m</a:t>
                </a:r>
                <a:r>
                  <a:rPr lang="pt-PT" sz="1125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pt-PT" sz="112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  <a:endParaRPr lang="pt-PT"/>
              </a:p>
            </c:rich>
          </c:tx>
          <c:layout>
            <c:manualLayout>
              <c:xMode val="edge"/>
              <c:yMode val="edge"/>
              <c:x val="0.37474541751527496"/>
              <c:y val="0.9245689655172413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18733440"/>
        <c:crosses val="autoZero"/>
        <c:crossBetween val="midCat"/>
        <c:minorUnit val="10"/>
      </c:valAx>
      <c:valAx>
        <c:axId val="118733440"/>
        <c:scaling>
          <c:orientation val="minMax"/>
          <c:max val="15.1"/>
          <c:min val="8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 sz="112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Densidade (l/min.m</a:t>
                </a:r>
                <a:r>
                  <a:rPr lang="pt-PT" sz="1125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pt-PT" sz="112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  <a:endParaRPr lang="pt-PT"/>
              </a:p>
            </c:rich>
          </c:tx>
          <c:layout>
            <c:manualLayout>
              <c:xMode val="edge"/>
              <c:yMode val="edge"/>
              <c:x val="1.0183299389002037E-2"/>
              <c:y val="0.318965517241379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18731520"/>
        <c:crossesAt val="0"/>
        <c:crossBetween val="midCat"/>
      </c:valAx>
      <c:spPr>
        <a:gradFill rotWithShape="0">
          <a:gsLst>
            <a:gs pos="0">
              <a:srgbClr val="FFFFCC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EAEAEA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7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</c:legendEntry>
      <c:legendEntry>
        <c:idx val="1"/>
        <c:txPr>
          <a:bodyPr/>
          <a:lstStyle/>
          <a:p>
            <a:pPr>
              <a:defRPr sz="7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7413441955193487"/>
          <c:y val="0.18534482758620691"/>
          <c:w val="0.19348268839103866"/>
          <c:h val="8.836206896551723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C0C0C0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" footer="0"/>
    <c:pageSetup/>
  </c:printSettings>
</c:chartSpace>
</file>

<file path=xl/ctrlProps/ctrlProp1.xml><?xml version="1.0" encoding="utf-8"?>
<formControlPr xmlns="http://schemas.microsoft.com/office/spreadsheetml/2009/9/main" objectType="Drop" dropLines="21" dropStyle="combo" dx="16" fmlaLink="$B$5" fmlaRange="'Quadros 3 a 6-NFPA 13'!$O$2:$P$22" sel="10" val="0"/>
</file>

<file path=xl/ctrlProps/ctrlProp2.xml><?xml version="1.0" encoding="utf-8"?>
<formControlPr xmlns="http://schemas.microsoft.com/office/spreadsheetml/2009/9/main" objectType="Drop" dropLines="4" dropStyle="combo" dx="16" fmlaLink="$A$17" fmlaRange="$BD$5:$BD$8" noThreeD="1" sel="1" val="0"/>
</file>

<file path=xl/ctrlProps/ctrlProp3.xml><?xml version="1.0" encoding="utf-8"?>
<formControlPr xmlns="http://schemas.microsoft.com/office/spreadsheetml/2009/9/main" objectType="Drop" dropLines="4" dropStyle="combo" dx="16" fmlaLink="$A$18" fmlaRange="$BK$5:$BK$8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gif"/><Relationship Id="rId5" Type="http://schemas.openxmlformats.org/officeDocument/2006/relationships/hyperlink" Target="http://www.apta.pt" TargetMode="External"/><Relationship Id="rId4" Type="http://schemas.openxmlformats.org/officeDocument/2006/relationships/hyperlink" Target="mailto:info@apta.pt" TargetMode="Externa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13" Type="http://schemas.openxmlformats.org/officeDocument/2006/relationships/image" Target="../media/image80.png"/><Relationship Id="rId18" Type="http://schemas.openxmlformats.org/officeDocument/2006/relationships/image" Target="../media/image85.png"/><Relationship Id="rId26" Type="http://schemas.openxmlformats.org/officeDocument/2006/relationships/hyperlink" Target="mailto:info@apta.pt" TargetMode="External"/><Relationship Id="rId3" Type="http://schemas.openxmlformats.org/officeDocument/2006/relationships/image" Target="../media/image70.png"/><Relationship Id="rId21" Type="http://schemas.openxmlformats.org/officeDocument/2006/relationships/image" Target="../media/image87.png"/><Relationship Id="rId7" Type="http://schemas.openxmlformats.org/officeDocument/2006/relationships/image" Target="../media/image74.png"/><Relationship Id="rId12" Type="http://schemas.openxmlformats.org/officeDocument/2006/relationships/image" Target="../media/image79.png"/><Relationship Id="rId17" Type="http://schemas.openxmlformats.org/officeDocument/2006/relationships/image" Target="../media/image84.png"/><Relationship Id="rId25" Type="http://schemas.openxmlformats.org/officeDocument/2006/relationships/image" Target="../media/image91.jpeg"/><Relationship Id="rId2" Type="http://schemas.openxmlformats.org/officeDocument/2006/relationships/image" Target="../media/image69.png"/><Relationship Id="rId16" Type="http://schemas.openxmlformats.org/officeDocument/2006/relationships/image" Target="../media/image83.png"/><Relationship Id="rId20" Type="http://schemas.openxmlformats.org/officeDocument/2006/relationships/image" Target="../media/image66.jpg"/><Relationship Id="rId1" Type="http://schemas.openxmlformats.org/officeDocument/2006/relationships/image" Target="../media/image68.png"/><Relationship Id="rId6" Type="http://schemas.openxmlformats.org/officeDocument/2006/relationships/image" Target="../media/image73.png"/><Relationship Id="rId11" Type="http://schemas.openxmlformats.org/officeDocument/2006/relationships/image" Target="../media/image78.png"/><Relationship Id="rId24" Type="http://schemas.openxmlformats.org/officeDocument/2006/relationships/image" Target="../media/image90.png"/><Relationship Id="rId5" Type="http://schemas.openxmlformats.org/officeDocument/2006/relationships/image" Target="../media/image72.png"/><Relationship Id="rId15" Type="http://schemas.openxmlformats.org/officeDocument/2006/relationships/image" Target="../media/image82.png"/><Relationship Id="rId23" Type="http://schemas.openxmlformats.org/officeDocument/2006/relationships/image" Target="../media/image89.png"/><Relationship Id="rId10" Type="http://schemas.openxmlformats.org/officeDocument/2006/relationships/image" Target="../media/image77.png"/><Relationship Id="rId19" Type="http://schemas.openxmlformats.org/officeDocument/2006/relationships/image" Target="../media/image86.png"/><Relationship Id="rId4" Type="http://schemas.openxmlformats.org/officeDocument/2006/relationships/image" Target="../media/image71.png"/><Relationship Id="rId9" Type="http://schemas.openxmlformats.org/officeDocument/2006/relationships/image" Target="../media/image76.png"/><Relationship Id="rId14" Type="http://schemas.openxmlformats.org/officeDocument/2006/relationships/image" Target="../media/image81.png"/><Relationship Id="rId22" Type="http://schemas.openxmlformats.org/officeDocument/2006/relationships/image" Target="../media/image88.png"/><Relationship Id="rId27" Type="http://schemas.openxmlformats.org/officeDocument/2006/relationships/hyperlink" Target="http://www.apta.pt/conteudos.php?idConteudo=203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mailto:info@apta.pt" TargetMode="External"/><Relationship Id="rId1" Type="http://schemas.openxmlformats.org/officeDocument/2006/relationships/image" Target="../media/image9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hyperlink" Target="http://www.apta.pt" TargetMode="External"/><Relationship Id="rId5" Type="http://schemas.openxmlformats.org/officeDocument/2006/relationships/hyperlink" Target="mailto:info@apta.pt" TargetMode="External"/><Relationship Id="rId4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7" Type="http://schemas.openxmlformats.org/officeDocument/2006/relationships/hyperlink" Target="http://www.apta.pt/conteudos.php?idConteudo=198" TargetMode="External"/><Relationship Id="rId2" Type="http://schemas.openxmlformats.org/officeDocument/2006/relationships/image" Target="../media/image10.png"/><Relationship Id="rId1" Type="http://schemas.openxmlformats.org/officeDocument/2006/relationships/image" Target="../media/image9.jpeg"/><Relationship Id="rId6" Type="http://schemas.openxmlformats.org/officeDocument/2006/relationships/hyperlink" Target="mailto:info@apta.pt" TargetMode="External"/><Relationship Id="rId5" Type="http://schemas.openxmlformats.org/officeDocument/2006/relationships/image" Target="../media/image3.jpeg"/><Relationship Id="rId4" Type="http://schemas.openxmlformats.org/officeDocument/2006/relationships/image" Target="../media/image12.jp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5.jpeg"/><Relationship Id="rId18" Type="http://schemas.openxmlformats.org/officeDocument/2006/relationships/image" Target="../media/image30.jpeg"/><Relationship Id="rId26" Type="http://schemas.openxmlformats.org/officeDocument/2006/relationships/image" Target="../media/image38.jpeg"/><Relationship Id="rId39" Type="http://schemas.openxmlformats.org/officeDocument/2006/relationships/image" Target="../media/image3.jpeg"/><Relationship Id="rId21" Type="http://schemas.openxmlformats.org/officeDocument/2006/relationships/image" Target="../media/image33.jpeg"/><Relationship Id="rId34" Type="http://schemas.openxmlformats.org/officeDocument/2006/relationships/image" Target="../media/image46.jpeg"/><Relationship Id="rId42" Type="http://schemas.openxmlformats.org/officeDocument/2006/relationships/image" Target="../media/image51.jpg"/><Relationship Id="rId7" Type="http://schemas.openxmlformats.org/officeDocument/2006/relationships/image" Target="../media/image19.jpeg"/><Relationship Id="rId2" Type="http://schemas.openxmlformats.org/officeDocument/2006/relationships/image" Target="../media/image14.jpeg"/><Relationship Id="rId16" Type="http://schemas.openxmlformats.org/officeDocument/2006/relationships/image" Target="../media/image28.jpeg"/><Relationship Id="rId20" Type="http://schemas.openxmlformats.org/officeDocument/2006/relationships/image" Target="../media/image32.jpeg"/><Relationship Id="rId29" Type="http://schemas.openxmlformats.org/officeDocument/2006/relationships/image" Target="../media/image41.jpeg"/><Relationship Id="rId41" Type="http://schemas.openxmlformats.org/officeDocument/2006/relationships/hyperlink" Target="http://www.apta.pt/conteudos.php?idConteudo=255" TargetMode="External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11" Type="http://schemas.openxmlformats.org/officeDocument/2006/relationships/image" Target="../media/image23.jpeg"/><Relationship Id="rId24" Type="http://schemas.openxmlformats.org/officeDocument/2006/relationships/image" Target="../media/image36.jpeg"/><Relationship Id="rId32" Type="http://schemas.openxmlformats.org/officeDocument/2006/relationships/image" Target="../media/image44.png"/><Relationship Id="rId37" Type="http://schemas.openxmlformats.org/officeDocument/2006/relationships/image" Target="../media/image49.jpeg"/><Relationship Id="rId40" Type="http://schemas.openxmlformats.org/officeDocument/2006/relationships/hyperlink" Target="mailto:info@apta.pt" TargetMode="External"/><Relationship Id="rId5" Type="http://schemas.openxmlformats.org/officeDocument/2006/relationships/image" Target="../media/image17.jpeg"/><Relationship Id="rId15" Type="http://schemas.openxmlformats.org/officeDocument/2006/relationships/image" Target="../media/image27.jpeg"/><Relationship Id="rId23" Type="http://schemas.openxmlformats.org/officeDocument/2006/relationships/image" Target="../media/image35.jpeg"/><Relationship Id="rId28" Type="http://schemas.openxmlformats.org/officeDocument/2006/relationships/image" Target="../media/image40.jpeg"/><Relationship Id="rId36" Type="http://schemas.openxmlformats.org/officeDocument/2006/relationships/image" Target="../media/image48.jpeg"/><Relationship Id="rId10" Type="http://schemas.openxmlformats.org/officeDocument/2006/relationships/image" Target="../media/image22.jpeg"/><Relationship Id="rId19" Type="http://schemas.openxmlformats.org/officeDocument/2006/relationships/image" Target="../media/image31.jpeg"/><Relationship Id="rId31" Type="http://schemas.openxmlformats.org/officeDocument/2006/relationships/image" Target="../media/image43.jpeg"/><Relationship Id="rId4" Type="http://schemas.openxmlformats.org/officeDocument/2006/relationships/image" Target="../media/image16.jpeg"/><Relationship Id="rId9" Type="http://schemas.openxmlformats.org/officeDocument/2006/relationships/image" Target="../media/image21.jpeg"/><Relationship Id="rId14" Type="http://schemas.openxmlformats.org/officeDocument/2006/relationships/image" Target="../media/image26.jpeg"/><Relationship Id="rId22" Type="http://schemas.openxmlformats.org/officeDocument/2006/relationships/image" Target="../media/image34.jpeg"/><Relationship Id="rId27" Type="http://schemas.openxmlformats.org/officeDocument/2006/relationships/image" Target="../media/image39.jpeg"/><Relationship Id="rId30" Type="http://schemas.openxmlformats.org/officeDocument/2006/relationships/image" Target="../media/image42.png"/><Relationship Id="rId35" Type="http://schemas.openxmlformats.org/officeDocument/2006/relationships/image" Target="../media/image47.jpeg"/><Relationship Id="rId8" Type="http://schemas.openxmlformats.org/officeDocument/2006/relationships/image" Target="../media/image20.jpeg"/><Relationship Id="rId3" Type="http://schemas.openxmlformats.org/officeDocument/2006/relationships/image" Target="../media/image15.jpeg"/><Relationship Id="rId12" Type="http://schemas.openxmlformats.org/officeDocument/2006/relationships/image" Target="../media/image24.jpeg"/><Relationship Id="rId17" Type="http://schemas.openxmlformats.org/officeDocument/2006/relationships/image" Target="../media/image29.jpeg"/><Relationship Id="rId25" Type="http://schemas.openxmlformats.org/officeDocument/2006/relationships/image" Target="../media/image37.jpeg"/><Relationship Id="rId33" Type="http://schemas.openxmlformats.org/officeDocument/2006/relationships/image" Target="../media/image45.png"/><Relationship Id="rId38" Type="http://schemas.openxmlformats.org/officeDocument/2006/relationships/image" Target="../media/image5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jpeg"/><Relationship Id="rId2" Type="http://schemas.openxmlformats.org/officeDocument/2006/relationships/image" Target="../media/image53.jpeg"/><Relationship Id="rId1" Type="http://schemas.openxmlformats.org/officeDocument/2006/relationships/image" Target="../media/image52.jpeg"/><Relationship Id="rId5" Type="http://schemas.openxmlformats.org/officeDocument/2006/relationships/image" Target="../media/image56.png"/><Relationship Id="rId4" Type="http://schemas.openxmlformats.org/officeDocument/2006/relationships/image" Target="../media/image55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58.jpeg"/><Relationship Id="rId1" Type="http://schemas.openxmlformats.org/officeDocument/2006/relationships/image" Target="../media/image57.jpeg"/><Relationship Id="rId4" Type="http://schemas.openxmlformats.org/officeDocument/2006/relationships/image" Target="../media/image60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png"/><Relationship Id="rId2" Type="http://schemas.openxmlformats.org/officeDocument/2006/relationships/image" Target="../media/image62.jpeg"/><Relationship Id="rId1" Type="http://schemas.openxmlformats.org/officeDocument/2006/relationships/image" Target="../media/image61.jpeg"/><Relationship Id="rId4" Type="http://schemas.openxmlformats.org/officeDocument/2006/relationships/image" Target="../media/image64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image" Target="../media/image6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apta.pt" TargetMode="External"/><Relationship Id="rId2" Type="http://schemas.openxmlformats.org/officeDocument/2006/relationships/image" Target="../media/image67.jpeg"/><Relationship Id="rId1" Type="http://schemas.openxmlformats.org/officeDocument/2006/relationships/image" Target="../media/image66.jpg"/><Relationship Id="rId4" Type="http://schemas.openxmlformats.org/officeDocument/2006/relationships/hyperlink" Target="http://www.apta.pt/conteudos.php?idConteudo=203" TargetMode="Externa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159</xdr:col>
      <xdr:colOff>28575</xdr:colOff>
      <xdr:row>13</xdr:row>
      <xdr:rowOff>180975</xdr:rowOff>
    </xdr:from>
    <xdr:to>
      <xdr:col>160</xdr:col>
      <xdr:colOff>352425</xdr:colOff>
      <xdr:row>16</xdr:row>
      <xdr:rowOff>0</xdr:rowOff>
    </xdr:to>
    <xdr:sp macro="" textlink="">
      <xdr:nvSpPr>
        <xdr:cNvPr id="28949" name="Text Box 277">
          <a:extLst>
            <a:ext uri="{FF2B5EF4-FFF2-40B4-BE49-F238E27FC236}">
              <a16:creationId xmlns:a16="http://schemas.microsoft.com/office/drawing/2014/main" id="{00000000-0008-0000-0000-000015710000}"/>
            </a:ext>
          </a:extLst>
        </xdr:cNvPr>
        <xdr:cNvSpPr txBox="1">
          <a:spLocks noChangeArrowheads="1"/>
        </xdr:cNvSpPr>
      </xdr:nvSpPr>
      <xdr:spPr bwMode="auto">
        <a:xfrm>
          <a:off x="16097250" y="2352675"/>
          <a:ext cx="0" cy="390525"/>
        </a:xfrm>
        <a:prstGeom prst="rect">
          <a:avLst/>
        </a:prstGeom>
        <a:solidFill>
          <a:srgbClr val="EAEAEA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6800" tIns="46800" rIns="46800" bIns="46800" anchor="t" upright="1"/>
        <a:lstStyle/>
        <a:p>
          <a:pPr algn="ctr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Perda de Carga Linear Média</a:t>
          </a:r>
        </a:p>
      </xdr:txBody>
    </xdr:sp>
    <xdr:clientData/>
  </xdr:twoCellAnchor>
  <xdr:twoCellAnchor>
    <xdr:from>
      <xdr:col>157</xdr:col>
      <xdr:colOff>19050</xdr:colOff>
      <xdr:row>14</xdr:row>
      <xdr:rowOff>38100</xdr:rowOff>
    </xdr:from>
    <xdr:to>
      <xdr:col>158</xdr:col>
      <xdr:colOff>609600</xdr:colOff>
      <xdr:row>15</xdr:row>
      <xdr:rowOff>209550</xdr:rowOff>
    </xdr:to>
    <xdr:sp macro="" textlink="">
      <xdr:nvSpPr>
        <xdr:cNvPr id="28950" name="Text Box 278">
          <a:extLst>
            <a:ext uri="{FF2B5EF4-FFF2-40B4-BE49-F238E27FC236}">
              <a16:creationId xmlns:a16="http://schemas.microsoft.com/office/drawing/2014/main" id="{00000000-0008-0000-0000-000016710000}"/>
            </a:ext>
          </a:extLst>
        </xdr:cNvPr>
        <xdr:cNvSpPr txBox="1">
          <a:spLocks noChangeArrowheads="1"/>
        </xdr:cNvSpPr>
      </xdr:nvSpPr>
      <xdr:spPr bwMode="auto">
        <a:xfrm>
          <a:off x="16097250" y="2400300"/>
          <a:ext cx="0" cy="342900"/>
        </a:xfrm>
        <a:prstGeom prst="rect">
          <a:avLst/>
        </a:prstGeom>
        <a:solidFill>
          <a:srgbClr val="EAEAEA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6800" tIns="46800" rIns="46800" bIns="46800" anchor="t" upright="1"/>
        <a:lstStyle/>
        <a:p>
          <a:pPr algn="ctr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Caminho Crítico</a:t>
          </a:r>
        </a:p>
      </xdr:txBody>
    </xdr:sp>
    <xdr:clientData/>
  </xdr:twoCellAnchor>
  <xdr:twoCellAnchor editAs="oneCell">
    <xdr:from>
      <xdr:col>3</xdr:col>
      <xdr:colOff>9526</xdr:colOff>
      <xdr:row>48</xdr:row>
      <xdr:rowOff>228599</xdr:rowOff>
    </xdr:from>
    <xdr:to>
      <xdr:col>11</xdr:col>
      <xdr:colOff>102416</xdr:colOff>
      <xdr:row>49</xdr:row>
      <xdr:rowOff>173489</xdr:rowOff>
    </xdr:to>
    <xdr:sp macro="" textlink="">
      <xdr:nvSpPr>
        <xdr:cNvPr id="28951" name="Text Box 279">
          <a:extLst>
            <a:ext uri="{FF2B5EF4-FFF2-40B4-BE49-F238E27FC236}">
              <a16:creationId xmlns:a16="http://schemas.microsoft.com/office/drawing/2014/main" id="{00000000-0008-0000-0000-000017710000}"/>
            </a:ext>
          </a:extLst>
        </xdr:cNvPr>
        <xdr:cNvSpPr txBox="1">
          <a:spLocks noChangeArrowheads="1"/>
        </xdr:cNvSpPr>
      </xdr:nvSpPr>
      <xdr:spPr bwMode="auto">
        <a:xfrm>
          <a:off x="47626" y="10199913"/>
          <a:ext cx="4203246" cy="16872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000" tIns="0" rIns="90000" bIns="0" anchor="t" upright="1"/>
        <a:lstStyle/>
        <a:p>
          <a:pPr algn="l" rtl="0">
            <a:defRPr sz="1000"/>
          </a:pPr>
          <a:r>
            <a:rPr lang="pt-PT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1)  </a:t>
          </a: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Inserir valor (+) para troço ascendente e (-) para troço descendente.</a:t>
          </a:r>
        </a:p>
      </xdr:txBody>
    </xdr:sp>
    <xdr:clientData/>
  </xdr:twoCellAnchor>
  <xdr:twoCellAnchor editAs="oneCell">
    <xdr:from>
      <xdr:col>3</xdr:col>
      <xdr:colOff>85725</xdr:colOff>
      <xdr:row>56</xdr:row>
      <xdr:rowOff>6803</xdr:rowOff>
    </xdr:from>
    <xdr:to>
      <xdr:col>3</xdr:col>
      <xdr:colOff>228600</xdr:colOff>
      <xdr:row>56</xdr:row>
      <xdr:rowOff>162525</xdr:rowOff>
    </xdr:to>
    <xdr:sp macro="" textlink="">
      <xdr:nvSpPr>
        <xdr:cNvPr id="6721056" name="Rectangle 5">
          <a:extLst>
            <a:ext uri="{FF2B5EF4-FFF2-40B4-BE49-F238E27FC236}">
              <a16:creationId xmlns:a16="http://schemas.microsoft.com/office/drawing/2014/main" id="{00000000-0008-0000-0000-0000208E6600}"/>
            </a:ext>
          </a:extLst>
        </xdr:cNvPr>
        <xdr:cNvSpPr>
          <a:spLocks noChangeArrowheads="1"/>
        </xdr:cNvSpPr>
      </xdr:nvSpPr>
      <xdr:spPr bwMode="auto">
        <a:xfrm>
          <a:off x="123825" y="11474903"/>
          <a:ext cx="142875" cy="151040"/>
        </a:xfrm>
        <a:prstGeom prst="rect">
          <a:avLst/>
        </a:prstGeom>
        <a:solidFill>
          <a:schemeClr val="bg2">
            <a:lumMod val="50000"/>
          </a:schemeClr>
        </a:solidFill>
        <a:ln>
          <a:noFill/>
        </a:ln>
        <a:effectLst>
          <a:prstShdw prst="shdw13" dist="53882" dir="13500000">
            <a:srgbClr val="808080"/>
          </a:prstShdw>
        </a:effectLst>
      </xdr:spPr>
    </xdr:sp>
    <xdr:clientData/>
  </xdr:twoCellAnchor>
  <xdr:twoCellAnchor editAs="oneCell">
    <xdr:from>
      <xdr:col>3</xdr:col>
      <xdr:colOff>77066</xdr:colOff>
      <xdr:row>54</xdr:row>
      <xdr:rowOff>167368</xdr:rowOff>
    </xdr:from>
    <xdr:to>
      <xdr:col>3</xdr:col>
      <xdr:colOff>230817</xdr:colOff>
      <xdr:row>55</xdr:row>
      <xdr:rowOff>144997</xdr:rowOff>
    </xdr:to>
    <xdr:sp macro="" textlink="">
      <xdr:nvSpPr>
        <xdr:cNvPr id="6721057" name="Rectangle 11">
          <a:extLst>
            <a:ext uri="{FF2B5EF4-FFF2-40B4-BE49-F238E27FC236}">
              <a16:creationId xmlns:a16="http://schemas.microsoft.com/office/drawing/2014/main" id="{00000000-0008-0000-0000-0000218E6600}"/>
            </a:ext>
          </a:extLst>
        </xdr:cNvPr>
        <xdr:cNvSpPr>
          <a:spLocks noChangeArrowheads="1"/>
        </xdr:cNvSpPr>
      </xdr:nvSpPr>
      <xdr:spPr bwMode="auto">
        <a:xfrm>
          <a:off x="111702" y="11597368"/>
          <a:ext cx="153751" cy="158039"/>
        </a:xfrm>
        <a:prstGeom prst="rect">
          <a:avLst/>
        </a:prstGeom>
        <a:solidFill>
          <a:srgbClr val="FF0000"/>
        </a:solidFill>
        <a:ln>
          <a:noFill/>
        </a:ln>
        <a:effectLst>
          <a:prstShdw prst="shdw13" dist="53882" dir="13500000">
            <a:srgbClr val="808080"/>
          </a:prstShdw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247651</xdr:colOff>
      <xdr:row>50</xdr:row>
      <xdr:rowOff>54428</xdr:rowOff>
    </xdr:from>
    <xdr:to>
      <xdr:col>7</xdr:col>
      <xdr:colOff>321888</xdr:colOff>
      <xdr:row>51</xdr:row>
      <xdr:rowOff>102814</xdr:rowOff>
    </xdr:to>
    <xdr:sp macro="" textlink="">
      <xdr:nvSpPr>
        <xdr:cNvPr id="40290" name="Text Box 5474">
          <a:extLst>
            <a:ext uri="{FF2B5EF4-FFF2-40B4-BE49-F238E27FC236}">
              <a16:creationId xmlns:a16="http://schemas.microsoft.com/office/drawing/2014/main" id="{00000000-0008-0000-0000-0000629D0000}"/>
            </a:ext>
          </a:extLst>
        </xdr:cNvPr>
        <xdr:cNvSpPr txBox="1">
          <a:spLocks noChangeArrowheads="1"/>
        </xdr:cNvSpPr>
      </xdr:nvSpPr>
      <xdr:spPr bwMode="auto">
        <a:xfrm>
          <a:off x="285751" y="10423071"/>
          <a:ext cx="1405618" cy="24492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000" tIns="46800" rIns="90000" bIns="46800" anchor="t" upright="1"/>
        <a:lstStyle/>
        <a:p>
          <a:pPr algn="l" rtl="0">
            <a:defRPr sz="1000"/>
          </a:pP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Desenho da instalação</a:t>
          </a:r>
        </a:p>
      </xdr:txBody>
    </xdr:sp>
    <xdr:clientData/>
  </xdr:twoCellAnchor>
  <xdr:twoCellAnchor editAs="oneCell">
    <xdr:from>
      <xdr:col>3</xdr:col>
      <xdr:colOff>247650</xdr:colOff>
      <xdr:row>51</xdr:row>
      <xdr:rowOff>55417</xdr:rowOff>
    </xdr:from>
    <xdr:to>
      <xdr:col>7</xdr:col>
      <xdr:colOff>393236</xdr:colOff>
      <xdr:row>52</xdr:row>
      <xdr:rowOff>124731</xdr:rowOff>
    </xdr:to>
    <xdr:sp macro="" textlink="">
      <xdr:nvSpPr>
        <xdr:cNvPr id="40291" name="Text Box 5475">
          <a:extLst>
            <a:ext uri="{FF2B5EF4-FFF2-40B4-BE49-F238E27FC236}">
              <a16:creationId xmlns:a16="http://schemas.microsoft.com/office/drawing/2014/main" id="{00000000-0008-0000-0000-0000639D0000}"/>
            </a:ext>
          </a:extLst>
        </xdr:cNvPr>
        <xdr:cNvSpPr txBox="1">
          <a:spLocks noChangeArrowheads="1"/>
        </xdr:cNvSpPr>
      </xdr:nvSpPr>
      <xdr:spPr bwMode="auto">
        <a:xfrm>
          <a:off x="287235" y="10649196"/>
          <a:ext cx="1459797" cy="24344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000" tIns="46800" rIns="90000" bIns="46800" anchor="t" upright="1"/>
        <a:lstStyle/>
        <a:p>
          <a:pPr algn="l" rtl="0">
            <a:defRPr sz="1000"/>
          </a:pP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Imposições  ou decisões</a:t>
          </a:r>
        </a:p>
      </xdr:txBody>
    </xdr:sp>
    <xdr:clientData/>
  </xdr:twoCellAnchor>
  <xdr:twoCellAnchor editAs="oneCell">
    <xdr:from>
      <xdr:col>3</xdr:col>
      <xdr:colOff>247651</xdr:colOff>
      <xdr:row>52</xdr:row>
      <xdr:rowOff>85848</xdr:rowOff>
    </xdr:from>
    <xdr:to>
      <xdr:col>7</xdr:col>
      <xdr:colOff>355138</xdr:colOff>
      <xdr:row>53</xdr:row>
      <xdr:rowOff>151163</xdr:rowOff>
    </xdr:to>
    <xdr:sp macro="" textlink="">
      <xdr:nvSpPr>
        <xdr:cNvPr id="40292" name="Text Box 5476">
          <a:extLst>
            <a:ext uri="{FF2B5EF4-FFF2-40B4-BE49-F238E27FC236}">
              <a16:creationId xmlns:a16="http://schemas.microsoft.com/office/drawing/2014/main" id="{00000000-0008-0000-0000-0000649D0000}"/>
            </a:ext>
          </a:extLst>
        </xdr:cNvPr>
        <xdr:cNvSpPr txBox="1">
          <a:spLocks noChangeArrowheads="1"/>
        </xdr:cNvSpPr>
      </xdr:nvSpPr>
      <xdr:spPr bwMode="auto">
        <a:xfrm>
          <a:off x="287236" y="10857757"/>
          <a:ext cx="1421698" cy="24344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000" tIns="46800" rIns="90000" bIns="46800" anchor="t" upright="1"/>
        <a:lstStyle/>
        <a:p>
          <a:pPr algn="l" rtl="0">
            <a:defRPr sz="1000"/>
          </a:pP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Calculado com fórmulas</a:t>
          </a:r>
        </a:p>
      </xdr:txBody>
    </xdr:sp>
    <xdr:clientData/>
  </xdr:twoCellAnchor>
  <xdr:twoCellAnchor editAs="oneCell">
    <xdr:from>
      <xdr:col>3</xdr:col>
      <xdr:colOff>247650</xdr:colOff>
      <xdr:row>53</xdr:row>
      <xdr:rowOff>104527</xdr:rowOff>
    </xdr:from>
    <xdr:to>
      <xdr:col>7</xdr:col>
      <xdr:colOff>474287</xdr:colOff>
      <xdr:row>54</xdr:row>
      <xdr:rowOff>173120</xdr:rowOff>
    </xdr:to>
    <xdr:sp macro="" textlink="">
      <xdr:nvSpPr>
        <xdr:cNvPr id="40293" name="Text Box 5477">
          <a:extLst>
            <a:ext uri="{FF2B5EF4-FFF2-40B4-BE49-F238E27FC236}">
              <a16:creationId xmlns:a16="http://schemas.microsoft.com/office/drawing/2014/main" id="{00000000-0008-0000-0000-0000659D0000}"/>
            </a:ext>
          </a:extLst>
        </xdr:cNvPr>
        <xdr:cNvSpPr txBox="1">
          <a:spLocks noChangeArrowheads="1"/>
        </xdr:cNvSpPr>
      </xdr:nvSpPr>
      <xdr:spPr bwMode="auto">
        <a:xfrm>
          <a:off x="287235" y="11054566"/>
          <a:ext cx="1555048" cy="24196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000" tIns="46800" rIns="90000" bIns="46800" anchor="t" upright="1"/>
        <a:lstStyle/>
        <a:p>
          <a:pPr algn="l" rtl="0">
            <a:defRPr sz="1000"/>
          </a:pP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Tabelas de especificações</a:t>
          </a:r>
        </a:p>
      </xdr:txBody>
    </xdr:sp>
    <xdr:clientData/>
  </xdr:twoCellAnchor>
  <xdr:twoCellAnchor editAs="oneCell">
    <xdr:from>
      <xdr:col>3</xdr:col>
      <xdr:colOff>247650</xdr:colOff>
      <xdr:row>54</xdr:row>
      <xdr:rowOff>130257</xdr:rowOff>
    </xdr:from>
    <xdr:to>
      <xdr:col>7</xdr:col>
      <xdr:colOff>116894</xdr:colOff>
      <xdr:row>55</xdr:row>
      <xdr:rowOff>143389</xdr:rowOff>
    </xdr:to>
    <xdr:sp macro="" textlink="">
      <xdr:nvSpPr>
        <xdr:cNvPr id="40294" name="Text Box 5478">
          <a:extLst>
            <a:ext uri="{FF2B5EF4-FFF2-40B4-BE49-F238E27FC236}">
              <a16:creationId xmlns:a16="http://schemas.microsoft.com/office/drawing/2014/main" id="{00000000-0008-0000-0000-0000669D0000}"/>
            </a:ext>
          </a:extLst>
        </xdr:cNvPr>
        <xdr:cNvSpPr txBox="1">
          <a:spLocks noChangeArrowheads="1"/>
        </xdr:cNvSpPr>
      </xdr:nvSpPr>
      <xdr:spPr bwMode="auto">
        <a:xfrm>
          <a:off x="282286" y="11205234"/>
          <a:ext cx="1120487" cy="19013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000" tIns="46800" rIns="90000" bIns="46800" anchor="t" upright="1"/>
        <a:lstStyle/>
        <a:p>
          <a:pPr algn="l" rtl="0">
            <a:defRPr sz="1000"/>
          </a:pP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Restrições / Alertas</a:t>
          </a:r>
        </a:p>
      </xdr:txBody>
    </xdr:sp>
    <xdr:clientData/>
  </xdr:twoCellAnchor>
  <xdr:twoCellAnchor editAs="oneCell">
    <xdr:from>
      <xdr:col>3</xdr:col>
      <xdr:colOff>247650</xdr:colOff>
      <xdr:row>55</xdr:row>
      <xdr:rowOff>149677</xdr:rowOff>
    </xdr:from>
    <xdr:to>
      <xdr:col>6</xdr:col>
      <xdr:colOff>159236</xdr:colOff>
      <xdr:row>56</xdr:row>
      <xdr:rowOff>172128</xdr:rowOff>
    </xdr:to>
    <xdr:sp macro="" textlink="">
      <xdr:nvSpPr>
        <xdr:cNvPr id="40295" name="Text Box 5479">
          <a:extLst>
            <a:ext uri="{FF2B5EF4-FFF2-40B4-BE49-F238E27FC236}">
              <a16:creationId xmlns:a16="http://schemas.microsoft.com/office/drawing/2014/main" id="{00000000-0008-0000-0000-0000679D0000}"/>
            </a:ext>
          </a:extLst>
        </xdr:cNvPr>
        <xdr:cNvSpPr txBox="1">
          <a:spLocks noChangeArrowheads="1"/>
        </xdr:cNvSpPr>
      </xdr:nvSpPr>
      <xdr:spPr bwMode="auto">
        <a:xfrm>
          <a:off x="285750" y="11438163"/>
          <a:ext cx="819150" cy="19730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000" tIns="46800" rIns="90000" bIns="46800" anchor="t" upright="1"/>
        <a:lstStyle/>
        <a:p>
          <a:pPr algn="l" rtl="0">
            <a:defRPr sz="1000"/>
          </a:pP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Conclusões</a:t>
          </a:r>
        </a:p>
      </xdr:txBody>
    </xdr:sp>
    <xdr:clientData/>
  </xdr:twoCellAnchor>
  <xdr:twoCellAnchor editAs="oneCell">
    <xdr:from>
      <xdr:col>22</xdr:col>
      <xdr:colOff>63950</xdr:colOff>
      <xdr:row>50</xdr:row>
      <xdr:rowOff>76198</xdr:rowOff>
    </xdr:from>
    <xdr:to>
      <xdr:col>32</xdr:col>
      <xdr:colOff>293244</xdr:colOff>
      <xdr:row>52</xdr:row>
      <xdr:rowOff>140894</xdr:rowOff>
    </xdr:to>
    <xdr:sp macro="" textlink="">
      <xdr:nvSpPr>
        <xdr:cNvPr id="40334" name="Text Box 5518">
          <a:extLst>
            <a:ext uri="{FF2B5EF4-FFF2-40B4-BE49-F238E27FC236}">
              <a16:creationId xmlns:a16="http://schemas.microsoft.com/office/drawing/2014/main" id="{00000000-0008-0000-0000-00008E9D0000}"/>
            </a:ext>
          </a:extLst>
        </xdr:cNvPr>
        <xdr:cNvSpPr txBox="1">
          <a:spLocks noChangeArrowheads="1"/>
        </xdr:cNvSpPr>
      </xdr:nvSpPr>
      <xdr:spPr bwMode="auto">
        <a:xfrm>
          <a:off x="7941125" y="10810873"/>
          <a:ext cx="4346125" cy="45923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algn="l" rtl="0">
            <a:defRPr sz="1000"/>
          </a:pPr>
          <a:r>
            <a:rPr lang="pt-PT" sz="1050" b="1" i="0" u="none" strike="noStrike" baseline="0">
              <a:solidFill>
                <a:srgbClr val="000000"/>
              </a:solidFill>
              <a:latin typeface="Arial"/>
              <a:cs typeface="Arial"/>
            </a:rPr>
            <a:t>Tubos de Aço </a:t>
          </a:r>
          <a:r>
            <a:rPr lang="pt-PT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- Série Média (M) - </a:t>
          </a:r>
          <a:r>
            <a:rPr lang="pt-PT" sz="105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Conformes </a:t>
          </a:r>
          <a:r>
            <a:rPr lang="pt-PT" sz="105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EN 10255 </a:t>
          </a:r>
          <a:r>
            <a:rPr lang="pt-PT" sz="105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Certificação </a:t>
          </a:r>
          <a:r>
            <a:rPr lang="pt-PT" sz="105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CERTIF</a:t>
          </a:r>
          <a:r>
            <a:rPr lang="pt-PT" sz="1050" b="0" i="0" u="none" strike="noStrike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t-PT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- Opção: Galvanizados conforme </a:t>
          </a:r>
          <a:r>
            <a:rPr lang="pt-PT" sz="1050" b="1" i="0" u="none" strike="noStrike" baseline="0">
              <a:solidFill>
                <a:srgbClr val="000000"/>
              </a:solidFill>
              <a:latin typeface="Arial"/>
              <a:cs typeface="Arial"/>
            </a:rPr>
            <a:t>EN 10240</a:t>
          </a:r>
          <a:r>
            <a:rPr lang="pt-PT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twoCellAnchor>
  <xdr:twoCellAnchor editAs="oneCell">
    <xdr:from>
      <xdr:col>22</xdr:col>
      <xdr:colOff>63950</xdr:colOff>
      <xdr:row>53</xdr:row>
      <xdr:rowOff>162299</xdr:rowOff>
    </xdr:from>
    <xdr:to>
      <xdr:col>32</xdr:col>
      <xdr:colOff>437408</xdr:colOff>
      <xdr:row>55</xdr:row>
      <xdr:rowOff>160187</xdr:rowOff>
    </xdr:to>
    <xdr:sp macro="" textlink="">
      <xdr:nvSpPr>
        <xdr:cNvPr id="40335" name="Text Box 5519">
          <a:extLst>
            <a:ext uri="{FF2B5EF4-FFF2-40B4-BE49-F238E27FC236}">
              <a16:creationId xmlns:a16="http://schemas.microsoft.com/office/drawing/2014/main" id="{00000000-0008-0000-0000-00008F9D0000}"/>
            </a:ext>
          </a:extLst>
        </xdr:cNvPr>
        <xdr:cNvSpPr txBox="1">
          <a:spLocks noChangeArrowheads="1"/>
        </xdr:cNvSpPr>
      </xdr:nvSpPr>
      <xdr:spPr bwMode="auto">
        <a:xfrm>
          <a:off x="7961041" y="11410458"/>
          <a:ext cx="4492462" cy="35755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algn="l" rtl="0">
            <a:defRPr sz="1000"/>
          </a:pPr>
          <a:r>
            <a:rPr lang="pt-PT" sz="1050" b="1" i="0" u="none" strike="noStrike" baseline="0">
              <a:solidFill>
                <a:srgbClr val="000000"/>
              </a:solidFill>
              <a:latin typeface="Arial"/>
              <a:cs typeface="Arial"/>
            </a:rPr>
            <a:t>Acessórios Roscados</a:t>
          </a:r>
          <a:r>
            <a:rPr lang="pt-PT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 em Ferro Fundido Maleável - Conformes </a:t>
          </a:r>
          <a:r>
            <a:rPr lang="pt-PT" sz="1050" b="1" i="0" u="none" strike="noStrike" baseline="0">
              <a:solidFill>
                <a:srgbClr val="000000"/>
              </a:solidFill>
              <a:latin typeface="Arial"/>
              <a:cs typeface="Arial"/>
            </a:rPr>
            <a:t>EN 10242</a:t>
          </a:r>
        </a:p>
        <a:p>
          <a:pPr algn="l" rtl="0">
            <a:defRPr sz="1000"/>
          </a:pPr>
          <a:r>
            <a:rPr lang="pt-PT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Símbolo de </a:t>
          </a:r>
          <a:r>
            <a:rPr lang="pt-PT" sz="105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Projecto</a:t>
          </a:r>
          <a:r>
            <a:rPr lang="pt-PT" sz="105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 </a:t>
          </a:r>
          <a:r>
            <a:rPr lang="pt-PT" sz="105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Certificação </a:t>
          </a:r>
          <a:r>
            <a:rPr lang="pt-PT" sz="105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CERTIF</a:t>
          </a:r>
          <a:r>
            <a:rPr lang="pt-PT" sz="105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t-PT" sz="105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Opção: Galvanizados</a:t>
          </a:r>
          <a:r>
            <a:rPr lang="pt-PT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twoCellAnchor>
  <xdr:twoCellAnchor editAs="oneCell">
    <xdr:from>
      <xdr:col>2</xdr:col>
      <xdr:colOff>26217</xdr:colOff>
      <xdr:row>22</xdr:row>
      <xdr:rowOff>247649</xdr:rowOff>
    </xdr:from>
    <xdr:to>
      <xdr:col>3</xdr:col>
      <xdr:colOff>228721</xdr:colOff>
      <xdr:row>48</xdr:row>
      <xdr:rowOff>170771</xdr:rowOff>
    </xdr:to>
    <xdr:sp macro="" textlink="">
      <xdr:nvSpPr>
        <xdr:cNvPr id="56" name="Text Box 2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>
          <a:spLocks noChangeArrowheads="1"/>
        </xdr:cNvSpPr>
      </xdr:nvSpPr>
      <xdr:spPr bwMode="auto">
        <a:xfrm>
          <a:off x="704100" y="4651415"/>
          <a:ext cx="242089" cy="584099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vert="vert270" wrap="square" lIns="0" tIns="0" rIns="0" bIns="0" anchor="ctr" upright="1"/>
        <a:lstStyle/>
        <a:p>
          <a:pPr algn="ctr" rtl="0">
            <a:defRPr sz="1000"/>
          </a:pPr>
          <a:r>
            <a:rPr lang="pt-PT" sz="1200" b="1" i="0" u="none" strike="noStrike" baseline="0">
              <a:solidFill>
                <a:schemeClr val="tx1"/>
              </a:solidFill>
              <a:latin typeface="Arial"/>
              <a:cs typeface="Arial"/>
            </a:rPr>
            <a:t>Análise dos troços de tubagem da rede de sprinklers</a:t>
          </a:r>
        </a:p>
      </xdr:txBody>
    </xdr:sp>
    <xdr:clientData/>
  </xdr:twoCellAnchor>
  <xdr:twoCellAnchor editAs="oneCell">
    <xdr:from>
      <xdr:col>3</xdr:col>
      <xdr:colOff>0</xdr:colOff>
      <xdr:row>19</xdr:row>
      <xdr:rowOff>28575</xdr:rowOff>
    </xdr:from>
    <xdr:to>
      <xdr:col>6</xdr:col>
      <xdr:colOff>54700</xdr:colOff>
      <xdr:row>19</xdr:row>
      <xdr:rowOff>198886</xdr:rowOff>
    </xdr:to>
    <xdr:sp macro="" textlink="">
      <xdr:nvSpPr>
        <xdr:cNvPr id="59" name="Text Box 17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>
          <a:spLocks noChangeArrowheads="1"/>
        </xdr:cNvSpPr>
      </xdr:nvSpPr>
      <xdr:spPr bwMode="auto">
        <a:xfrm>
          <a:off x="38100" y="3571875"/>
          <a:ext cx="928158" cy="170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pt-PT" sz="900" b="0" i="0" u="none" strike="noStrike" baseline="0">
              <a:solidFill>
                <a:srgbClr val="FFFFFF"/>
              </a:solidFill>
              <a:latin typeface="Arial"/>
              <a:cs typeface="Arial"/>
            </a:rPr>
            <a:t>Característica: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</xdr:row>
          <xdr:rowOff>0</xdr:rowOff>
        </xdr:from>
        <xdr:to>
          <xdr:col>12</xdr:col>
          <xdr:colOff>560614</xdr:colOff>
          <xdr:row>4</xdr:row>
          <xdr:rowOff>217714</xdr:rowOff>
        </xdr:to>
        <xdr:sp macro="" textlink="">
          <xdr:nvSpPr>
            <xdr:cNvPr id="29048" name="Drop Down 376" hidden="1">
              <a:extLst>
                <a:ext uri="{63B3BB69-23CF-44E3-9099-C40C66FF867C}">
                  <a14:compatExt spid="_x0000_s29048"/>
                </a:ext>
                <a:ext uri="{FF2B5EF4-FFF2-40B4-BE49-F238E27FC236}">
                  <a16:creationId xmlns:a16="http://schemas.microsoft.com/office/drawing/2014/main" id="{00000000-0008-0000-0000-0000787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21771</xdr:colOff>
          <xdr:row>16</xdr:row>
          <xdr:rowOff>0</xdr:rowOff>
        </xdr:from>
        <xdr:to>
          <xdr:col>12</xdr:col>
          <xdr:colOff>304800</xdr:colOff>
          <xdr:row>17</xdr:row>
          <xdr:rowOff>10886</xdr:rowOff>
        </xdr:to>
        <xdr:sp macro="" textlink="">
          <xdr:nvSpPr>
            <xdr:cNvPr id="1136958" name="Drop Down 32062" hidden="1">
              <a:extLst>
                <a:ext uri="{63B3BB69-23CF-44E3-9099-C40C66FF867C}">
                  <a14:compatExt spid="_x0000_s1136958"/>
                </a:ext>
                <a:ext uri="{FF2B5EF4-FFF2-40B4-BE49-F238E27FC236}">
                  <a16:creationId xmlns:a16="http://schemas.microsoft.com/office/drawing/2014/main" id="{00000000-0008-0000-0000-00003E591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21771</xdr:colOff>
          <xdr:row>17</xdr:row>
          <xdr:rowOff>0</xdr:rowOff>
        </xdr:from>
        <xdr:to>
          <xdr:col>12</xdr:col>
          <xdr:colOff>304800</xdr:colOff>
          <xdr:row>18</xdr:row>
          <xdr:rowOff>0</xdr:rowOff>
        </xdr:to>
        <xdr:sp macro="" textlink="">
          <xdr:nvSpPr>
            <xdr:cNvPr id="1136959" name="Drop Down 32063" hidden="1">
              <a:extLst>
                <a:ext uri="{63B3BB69-23CF-44E3-9099-C40C66FF867C}">
                  <a14:compatExt spid="_x0000_s1136959"/>
                </a:ext>
                <a:ext uri="{FF2B5EF4-FFF2-40B4-BE49-F238E27FC236}">
                  <a16:creationId xmlns:a16="http://schemas.microsoft.com/office/drawing/2014/main" id="{00000000-0008-0000-0000-00003F591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85725</xdr:colOff>
      <xdr:row>53</xdr:row>
      <xdr:rowOff>149678</xdr:rowOff>
    </xdr:from>
    <xdr:to>
      <xdr:col>3</xdr:col>
      <xdr:colOff>228600</xdr:colOff>
      <xdr:row>54</xdr:row>
      <xdr:rowOff>125786</xdr:rowOff>
    </xdr:to>
    <xdr:sp macro="" textlink="">
      <xdr:nvSpPr>
        <xdr:cNvPr id="6721086" name="Rectangle 10">
          <a:extLst>
            <a:ext uri="{FF2B5EF4-FFF2-40B4-BE49-F238E27FC236}">
              <a16:creationId xmlns:a16="http://schemas.microsoft.com/office/drawing/2014/main" id="{00000000-0008-0000-0000-00003E8E6600}"/>
            </a:ext>
          </a:extLst>
        </xdr:cNvPr>
        <xdr:cNvSpPr>
          <a:spLocks noChangeArrowheads="1"/>
        </xdr:cNvSpPr>
      </xdr:nvSpPr>
      <xdr:spPr bwMode="auto">
        <a:xfrm>
          <a:off x="123825" y="11078935"/>
          <a:ext cx="142875" cy="15104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  <a:effectLst>
          <a:prstShdw prst="shdw13" dist="53882" dir="13500000">
            <a:srgbClr val="808080"/>
          </a:prstShdw>
        </a:effectLst>
      </xdr:spPr>
    </xdr:sp>
    <xdr:clientData/>
  </xdr:twoCellAnchor>
  <xdr:twoCellAnchor editAs="oneCell">
    <xdr:from>
      <xdr:col>3</xdr:col>
      <xdr:colOff>91168</xdr:colOff>
      <xdr:row>52</xdr:row>
      <xdr:rowOff>136071</xdr:rowOff>
    </xdr:from>
    <xdr:to>
      <xdr:col>3</xdr:col>
      <xdr:colOff>238725</xdr:colOff>
      <xdr:row>53</xdr:row>
      <xdr:rowOff>112258</xdr:rowOff>
    </xdr:to>
    <xdr:sp macro="" textlink="">
      <xdr:nvSpPr>
        <xdr:cNvPr id="6721087" name="Rectangle 7">
          <a:extLst>
            <a:ext uri="{FF2B5EF4-FFF2-40B4-BE49-F238E27FC236}">
              <a16:creationId xmlns:a16="http://schemas.microsoft.com/office/drawing/2014/main" id="{00000000-0008-0000-0000-00003F8E6600}"/>
            </a:ext>
          </a:extLst>
        </xdr:cNvPr>
        <xdr:cNvSpPr>
          <a:spLocks noChangeArrowheads="1"/>
        </xdr:cNvSpPr>
      </xdr:nvSpPr>
      <xdr:spPr bwMode="auto">
        <a:xfrm>
          <a:off x="129268" y="10885714"/>
          <a:ext cx="142875" cy="151039"/>
        </a:xfrm>
        <a:prstGeom prst="rect">
          <a:avLst/>
        </a:prstGeom>
        <a:solidFill>
          <a:schemeClr val="bg2">
            <a:lumMod val="90000"/>
          </a:schemeClr>
        </a:solidFill>
        <a:ln>
          <a:noFill/>
        </a:ln>
        <a:effectLst>
          <a:prstShdw prst="shdw13" dist="53882" dir="13500000">
            <a:srgbClr val="808080"/>
          </a:prstShdw>
        </a:effectLst>
      </xdr:spPr>
      <xdr:txBody>
        <a:bodyPr/>
        <a:lstStyle/>
        <a:p>
          <a:endParaRPr lang="pt-PT"/>
        </a:p>
      </xdr:txBody>
    </xdr:sp>
    <xdr:clientData/>
  </xdr:twoCellAnchor>
  <xdr:twoCellAnchor editAs="oneCell">
    <xdr:from>
      <xdr:col>3</xdr:col>
      <xdr:colOff>85725</xdr:colOff>
      <xdr:row>51</xdr:row>
      <xdr:rowOff>107496</xdr:rowOff>
    </xdr:from>
    <xdr:to>
      <xdr:col>3</xdr:col>
      <xdr:colOff>238045</xdr:colOff>
      <xdr:row>52</xdr:row>
      <xdr:rowOff>102812</xdr:rowOff>
    </xdr:to>
    <xdr:sp macro="" textlink="">
      <xdr:nvSpPr>
        <xdr:cNvPr id="6721088" name="Rectangle 8">
          <a:extLst>
            <a:ext uri="{FF2B5EF4-FFF2-40B4-BE49-F238E27FC236}">
              <a16:creationId xmlns:a16="http://schemas.microsoft.com/office/drawing/2014/main" id="{00000000-0008-0000-0000-0000408E6600}"/>
            </a:ext>
          </a:extLst>
        </xdr:cNvPr>
        <xdr:cNvSpPr>
          <a:spLocks noChangeArrowheads="1"/>
        </xdr:cNvSpPr>
      </xdr:nvSpPr>
      <xdr:spPr bwMode="auto">
        <a:xfrm>
          <a:off x="123825" y="10677525"/>
          <a:ext cx="152400" cy="170089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  <a:effectLst>
          <a:prstShdw prst="shdw13" dist="53882" dir="13500000">
            <a:srgbClr val="808080"/>
          </a:prstShdw>
        </a:effectLst>
      </xdr:spPr>
    </xdr:sp>
    <xdr:clientData/>
  </xdr:twoCellAnchor>
  <xdr:twoCellAnchor editAs="oneCell">
    <xdr:from>
      <xdr:col>3</xdr:col>
      <xdr:colOff>85725</xdr:colOff>
      <xdr:row>50</xdr:row>
      <xdr:rowOff>87085</xdr:rowOff>
    </xdr:from>
    <xdr:to>
      <xdr:col>3</xdr:col>
      <xdr:colOff>228600</xdr:colOff>
      <xdr:row>51</xdr:row>
      <xdr:rowOff>49586</xdr:rowOff>
    </xdr:to>
    <xdr:sp macro="" textlink="">
      <xdr:nvSpPr>
        <xdr:cNvPr id="6721089" name="Rectangle 9">
          <a:extLst>
            <a:ext uri="{FF2B5EF4-FFF2-40B4-BE49-F238E27FC236}">
              <a16:creationId xmlns:a16="http://schemas.microsoft.com/office/drawing/2014/main" id="{00000000-0008-0000-0000-0000418E6600}"/>
            </a:ext>
          </a:extLst>
        </xdr:cNvPr>
        <xdr:cNvSpPr>
          <a:spLocks noChangeArrowheads="1"/>
        </xdr:cNvSpPr>
      </xdr:nvSpPr>
      <xdr:spPr bwMode="auto">
        <a:xfrm>
          <a:off x="123825" y="10455728"/>
          <a:ext cx="142875" cy="15920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  <a:effectLst>
          <a:prstShdw prst="shdw13" dist="53882" dir="13500000">
            <a:srgbClr val="808080"/>
          </a:prstShdw>
        </a:effectLst>
      </xdr:spPr>
    </xdr:sp>
    <xdr:clientData/>
  </xdr:twoCellAnchor>
  <xdr:twoCellAnchor>
    <xdr:from>
      <xdr:col>26</xdr:col>
      <xdr:colOff>95249</xdr:colOff>
      <xdr:row>9</xdr:row>
      <xdr:rowOff>123825</xdr:rowOff>
    </xdr:from>
    <xdr:to>
      <xdr:col>27</xdr:col>
      <xdr:colOff>22424</xdr:colOff>
      <xdr:row>12</xdr:row>
      <xdr:rowOff>161924</xdr:rowOff>
    </xdr:to>
    <xdr:sp macro="" textlink="">
      <xdr:nvSpPr>
        <xdr:cNvPr id="55" name="Text Box 2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>
          <a:spLocks noChangeArrowheads="1"/>
        </xdr:cNvSpPr>
      </xdr:nvSpPr>
      <xdr:spPr bwMode="auto">
        <a:xfrm>
          <a:off x="8934449" y="1724025"/>
          <a:ext cx="4224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pt-PT" sz="900" b="0" i="0" u="none" strike="noStrike" baseline="0">
              <a:solidFill>
                <a:schemeClr val="tx1"/>
              </a:solidFill>
              <a:latin typeface="Arial"/>
              <a:cs typeface="Arial"/>
            </a:rPr>
            <a:t>Critérios avaliação</a:t>
          </a:r>
        </a:p>
      </xdr:txBody>
    </xdr:sp>
    <xdr:clientData/>
  </xdr:twoCellAnchor>
  <xdr:twoCellAnchor>
    <xdr:from>
      <xdr:col>26</xdr:col>
      <xdr:colOff>95249</xdr:colOff>
      <xdr:row>12</xdr:row>
      <xdr:rowOff>104774</xdr:rowOff>
    </xdr:from>
    <xdr:to>
      <xdr:col>27</xdr:col>
      <xdr:colOff>22424</xdr:colOff>
      <xdr:row>16</xdr:row>
      <xdr:rowOff>95249</xdr:rowOff>
    </xdr:to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>
          <a:spLocks noChangeArrowheads="1"/>
        </xdr:cNvSpPr>
      </xdr:nvSpPr>
      <xdr:spPr bwMode="auto">
        <a:xfrm>
          <a:off x="8934449" y="2276474"/>
          <a:ext cx="42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pt-PT" sz="900" b="0" i="0" u="none" strike="noStrike" baseline="0">
              <a:solidFill>
                <a:schemeClr val="tx1"/>
              </a:solidFill>
              <a:latin typeface="Arial"/>
              <a:cs typeface="Arial"/>
            </a:rPr>
            <a:t>Requisitos alimentação</a:t>
          </a:r>
        </a:p>
      </xdr:txBody>
    </xdr:sp>
    <xdr:clientData/>
  </xdr:twoCellAnchor>
  <xdr:twoCellAnchor>
    <xdr:from>
      <xdr:col>26</xdr:col>
      <xdr:colOff>69273</xdr:colOff>
      <xdr:row>7</xdr:row>
      <xdr:rowOff>19050</xdr:rowOff>
    </xdr:from>
    <xdr:to>
      <xdr:col>27</xdr:col>
      <xdr:colOff>31083</xdr:colOff>
      <xdr:row>10</xdr:row>
      <xdr:rowOff>9525</xdr:rowOff>
    </xdr:to>
    <xdr:sp macro="" textlink="">
      <xdr:nvSpPr>
        <xdr:cNvPr id="54" name="Text Box 2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 bwMode="auto">
        <a:xfrm>
          <a:off x="8771659" y="1188027"/>
          <a:ext cx="377447" cy="596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pt-PT" sz="900" b="0" i="0" u="none" strike="noStrike" baseline="0">
              <a:solidFill>
                <a:schemeClr val="tx1"/>
              </a:solidFill>
              <a:latin typeface="Arial"/>
              <a:cs typeface="Arial"/>
            </a:rPr>
            <a:t>Trajecto</a:t>
          </a:r>
          <a:r>
            <a:rPr lang="pt-PT" sz="1000" b="0" i="0" u="none" strike="noStrike" baseline="0">
              <a:solidFill>
                <a:schemeClr val="tx1"/>
              </a:solidFill>
              <a:latin typeface="Arial"/>
              <a:cs typeface="Arial"/>
            </a:rPr>
            <a:t> </a:t>
          </a:r>
          <a:r>
            <a:rPr lang="pt-PT" sz="900" b="0" i="0" u="none" strike="noStrike" baseline="0">
              <a:solidFill>
                <a:schemeClr val="tx1"/>
              </a:solidFill>
              <a:latin typeface="Arial"/>
              <a:cs typeface="Arial"/>
            </a:rPr>
            <a:t>crítico</a:t>
          </a:r>
        </a:p>
      </xdr:txBody>
    </xdr:sp>
    <xdr:clientData/>
  </xdr:twoCellAnchor>
  <xdr:twoCellAnchor>
    <xdr:from>
      <xdr:col>26</xdr:col>
      <xdr:colOff>95249</xdr:colOff>
      <xdr:row>3</xdr:row>
      <xdr:rowOff>171450</xdr:rowOff>
    </xdr:from>
    <xdr:to>
      <xdr:col>27</xdr:col>
      <xdr:colOff>22424</xdr:colOff>
      <xdr:row>7</xdr:row>
      <xdr:rowOff>152400</xdr:rowOff>
    </xdr:to>
    <xdr:sp macro="" textlink="">
      <xdr:nvSpPr>
        <xdr:cNvPr id="60" name="Text Box 2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>
          <a:spLocks noChangeArrowheads="1"/>
        </xdr:cNvSpPr>
      </xdr:nvSpPr>
      <xdr:spPr bwMode="auto">
        <a:xfrm>
          <a:off x="8934449" y="552450"/>
          <a:ext cx="4224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pt-PT" sz="900" b="0" i="0" u="none" strike="noStrike" baseline="0">
              <a:solidFill>
                <a:schemeClr val="tx1"/>
              </a:solidFill>
              <a:latin typeface="Arial"/>
              <a:cs typeface="Arial"/>
            </a:rPr>
            <a:t>Disposição sprinklers</a:t>
          </a:r>
        </a:p>
      </xdr:txBody>
    </xdr:sp>
    <xdr:clientData/>
  </xdr:twoCellAnchor>
  <xdr:twoCellAnchor editAs="oneCell">
    <xdr:from>
      <xdr:col>22</xdr:col>
      <xdr:colOff>208571</xdr:colOff>
      <xdr:row>9</xdr:row>
      <xdr:rowOff>56218</xdr:rowOff>
    </xdr:from>
    <xdr:to>
      <xdr:col>26</xdr:col>
      <xdr:colOff>66090</xdr:colOff>
      <xdr:row>13</xdr:row>
      <xdr:rowOff>97593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844" y="1666809"/>
          <a:ext cx="817242" cy="872524"/>
        </a:xfrm>
        <a:prstGeom prst="rect">
          <a:avLst/>
        </a:prstGeom>
      </xdr:spPr>
    </xdr:pic>
    <xdr:clientData/>
  </xdr:twoCellAnchor>
  <xdr:twoCellAnchor editAs="oneCell">
    <xdr:from>
      <xdr:col>37</xdr:col>
      <xdr:colOff>21772</xdr:colOff>
      <xdr:row>12</xdr:row>
      <xdr:rowOff>77306</xdr:rowOff>
    </xdr:from>
    <xdr:to>
      <xdr:col>43</xdr:col>
      <xdr:colOff>277391</xdr:colOff>
      <xdr:row>17</xdr:row>
      <xdr:rowOff>141147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8658" y="2337329"/>
          <a:ext cx="2541320" cy="1089625"/>
        </a:xfrm>
        <a:prstGeom prst="rect">
          <a:avLst/>
        </a:prstGeom>
      </xdr:spPr>
    </xdr:pic>
    <xdr:clientData/>
  </xdr:twoCellAnchor>
  <xdr:twoCellAnchor>
    <xdr:from>
      <xdr:col>27</xdr:col>
      <xdr:colOff>2388</xdr:colOff>
      <xdr:row>4</xdr:row>
      <xdr:rowOff>16906</xdr:rowOff>
    </xdr:from>
    <xdr:to>
      <xdr:col>27</xdr:col>
      <xdr:colOff>295305</xdr:colOff>
      <xdr:row>15</xdr:row>
      <xdr:rowOff>200098</xdr:rowOff>
    </xdr:to>
    <xdr:grpSp>
      <xdr:nvGrpSpPr>
        <xdr:cNvPr id="5" name="Agrupar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9967764" y="595828"/>
          <a:ext cx="292917" cy="2488985"/>
          <a:chOff x="10000209" y="585737"/>
          <a:chExt cx="297678" cy="2333782"/>
        </a:xfrm>
      </xdr:grpSpPr>
      <xdr:sp macro="" textlink="">
        <xdr:nvSpPr>
          <xdr:cNvPr id="2" name="Retângulo: Cantos Arredondados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SpPr/>
        </xdr:nvSpPr>
        <xdr:spPr bwMode="auto">
          <a:xfrm>
            <a:off x="10000209" y="585737"/>
            <a:ext cx="297678" cy="180000"/>
          </a:xfrm>
          <a:prstGeom prst="roundRect">
            <a:avLst/>
          </a:prstGeom>
          <a:solidFill>
            <a:schemeClr val="accent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1.4</a:t>
            </a:r>
          </a:p>
        </xdr:txBody>
      </xdr:sp>
      <xdr:sp macro="" textlink="">
        <xdr:nvSpPr>
          <xdr:cNvPr id="71" name="Retângulo: Cantos Arredondados 7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/>
        </xdr:nvSpPr>
        <xdr:spPr bwMode="auto">
          <a:xfrm>
            <a:off x="10000209" y="784191"/>
            <a:ext cx="297678" cy="175480"/>
          </a:xfrm>
          <a:prstGeom prst="roundRect">
            <a:avLst/>
          </a:prstGeom>
          <a:solidFill>
            <a:schemeClr val="accent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1.6</a:t>
            </a:r>
          </a:p>
        </xdr:txBody>
      </xdr:sp>
      <xdr:sp macro="" textlink="">
        <xdr:nvSpPr>
          <xdr:cNvPr id="72" name="Retângulo: Cantos Arredondados 7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/>
        </xdr:nvSpPr>
        <xdr:spPr bwMode="auto">
          <a:xfrm>
            <a:off x="10000209" y="978460"/>
            <a:ext cx="297678" cy="172131"/>
          </a:xfrm>
          <a:prstGeom prst="roundRect">
            <a:avLst/>
          </a:prstGeom>
          <a:solidFill>
            <a:schemeClr val="accent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1.7</a:t>
            </a:r>
          </a:p>
        </xdr:txBody>
      </xdr:sp>
      <xdr:sp macro="" textlink="">
        <xdr:nvSpPr>
          <xdr:cNvPr id="74" name="Retângulo: Cantos Arredondados 7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/>
        </xdr:nvSpPr>
        <xdr:spPr bwMode="auto">
          <a:xfrm>
            <a:off x="10000209" y="1178199"/>
            <a:ext cx="297678" cy="180000"/>
          </a:xfrm>
          <a:prstGeom prst="roundRect">
            <a:avLst/>
          </a:prstGeom>
          <a:solidFill>
            <a:schemeClr val="accent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1.9</a:t>
            </a:r>
          </a:p>
        </xdr:txBody>
      </xdr:sp>
      <xdr:sp macro="" textlink="">
        <xdr:nvSpPr>
          <xdr:cNvPr id="75" name="Retângulo: Cantos Arredondados 7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/>
        </xdr:nvSpPr>
        <xdr:spPr bwMode="auto">
          <a:xfrm>
            <a:off x="10000209" y="1389128"/>
            <a:ext cx="297678" cy="168266"/>
          </a:xfrm>
          <a:prstGeom prst="roundRect">
            <a:avLst/>
          </a:prstGeom>
          <a:solidFill>
            <a:schemeClr val="accent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1.11</a:t>
            </a:r>
          </a:p>
        </xdr:txBody>
      </xdr:sp>
      <xdr:sp macro="" textlink="">
        <xdr:nvSpPr>
          <xdr:cNvPr id="76" name="Retângulo: Cantos Arredondados 7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/>
        </xdr:nvSpPr>
        <xdr:spPr bwMode="auto">
          <a:xfrm>
            <a:off x="10000209" y="1580505"/>
            <a:ext cx="297678" cy="176048"/>
          </a:xfrm>
          <a:prstGeom prst="roundRect">
            <a:avLst/>
          </a:prstGeom>
          <a:solidFill>
            <a:schemeClr val="accent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3.5</a:t>
            </a:r>
          </a:p>
        </xdr:txBody>
      </xdr:sp>
      <xdr:sp macro="" textlink="">
        <xdr:nvSpPr>
          <xdr:cNvPr id="77" name="Retângulo: Cantos Arredondados 76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/>
        </xdr:nvSpPr>
        <xdr:spPr bwMode="auto">
          <a:xfrm>
            <a:off x="10000209" y="1781861"/>
            <a:ext cx="297678" cy="166976"/>
          </a:xfrm>
          <a:prstGeom prst="roundRect">
            <a:avLst/>
          </a:prstGeom>
          <a:solidFill>
            <a:schemeClr val="accent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8.4</a:t>
            </a:r>
          </a:p>
        </xdr:txBody>
      </xdr:sp>
      <xdr:sp macro="" textlink="">
        <xdr:nvSpPr>
          <xdr:cNvPr id="78" name="Retângulo: Cantos Arredondados 77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/>
        </xdr:nvSpPr>
        <xdr:spPr bwMode="auto">
          <a:xfrm>
            <a:off x="10000209" y="1972320"/>
            <a:ext cx="297678" cy="157566"/>
          </a:xfrm>
          <a:prstGeom prst="roundRect">
            <a:avLst/>
          </a:prstGeom>
          <a:solidFill>
            <a:schemeClr val="accent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8.1</a:t>
            </a:r>
          </a:p>
        </xdr:txBody>
      </xdr:sp>
      <xdr:sp macro="" textlink="">
        <xdr:nvSpPr>
          <xdr:cNvPr id="79" name="Retângulo: Cantos Arredondados 78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/>
        </xdr:nvSpPr>
        <xdr:spPr bwMode="auto">
          <a:xfrm>
            <a:off x="10000209" y="2156640"/>
            <a:ext cx="297678" cy="172615"/>
          </a:xfrm>
          <a:prstGeom prst="roundRect">
            <a:avLst/>
          </a:prstGeom>
          <a:solidFill>
            <a:schemeClr val="accent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10.6</a:t>
            </a:r>
          </a:p>
        </xdr:txBody>
      </xdr:sp>
      <xdr:sp macro="" textlink="">
        <xdr:nvSpPr>
          <xdr:cNvPr id="80" name="Retângulo: Cantos Arredondados 79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/>
        </xdr:nvSpPr>
        <xdr:spPr bwMode="auto">
          <a:xfrm>
            <a:off x="10000209" y="2359269"/>
            <a:ext cx="297678" cy="169268"/>
          </a:xfrm>
          <a:prstGeom prst="roundRect">
            <a:avLst/>
          </a:prstGeom>
          <a:solidFill>
            <a:schemeClr val="accent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10.1</a:t>
            </a:r>
          </a:p>
        </xdr:txBody>
      </xdr:sp>
      <xdr:sp macro="" textlink="">
        <xdr:nvSpPr>
          <xdr:cNvPr id="81" name="Retângulo: Cantos Arredondados 80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/>
        </xdr:nvSpPr>
        <xdr:spPr bwMode="auto">
          <a:xfrm>
            <a:off x="10000209" y="2553440"/>
            <a:ext cx="297678" cy="164781"/>
          </a:xfrm>
          <a:prstGeom prst="roundRect">
            <a:avLst/>
          </a:prstGeom>
          <a:solidFill>
            <a:schemeClr val="accent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10.2</a:t>
            </a:r>
          </a:p>
        </xdr:txBody>
      </xdr:sp>
      <xdr:sp macro="" textlink="">
        <xdr:nvSpPr>
          <xdr:cNvPr id="82" name="Retângulo: Cantos Arredondados 81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/>
        </xdr:nvSpPr>
        <xdr:spPr bwMode="auto">
          <a:xfrm>
            <a:off x="10000209" y="2739519"/>
            <a:ext cx="297678" cy="180000"/>
          </a:xfrm>
          <a:prstGeom prst="roundRect">
            <a:avLst/>
          </a:prstGeom>
          <a:solidFill>
            <a:schemeClr val="accent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10.4</a:t>
            </a:r>
          </a:p>
        </xdr:txBody>
      </xdr:sp>
    </xdr:grpSp>
    <xdr:clientData/>
  </xdr:twoCellAnchor>
  <xdr:twoCellAnchor>
    <xdr:from>
      <xdr:col>2</xdr:col>
      <xdr:colOff>24712</xdr:colOff>
      <xdr:row>4</xdr:row>
      <xdr:rowOff>16230</xdr:rowOff>
    </xdr:from>
    <xdr:to>
      <xdr:col>5</xdr:col>
      <xdr:colOff>348885</xdr:colOff>
      <xdr:row>16</xdr:row>
      <xdr:rowOff>0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24712" y="595152"/>
          <a:ext cx="888251" cy="2497381"/>
          <a:chOff x="37268" y="589303"/>
          <a:chExt cx="905255" cy="2332483"/>
        </a:xfrm>
      </xdr:grpSpPr>
      <xdr:grpSp>
        <xdr:nvGrpSpPr>
          <xdr:cNvPr id="83" name="Agrupar 82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GrpSpPr/>
        </xdr:nvGrpSpPr>
        <xdr:grpSpPr>
          <a:xfrm>
            <a:off x="37268" y="591599"/>
            <a:ext cx="297678" cy="2330187"/>
            <a:chOff x="10000209" y="589924"/>
            <a:chExt cx="297678" cy="2330187"/>
          </a:xfrm>
        </xdr:grpSpPr>
        <xdr:sp macro="" textlink="">
          <xdr:nvSpPr>
            <xdr:cNvPr id="84" name="Retângulo: Cantos Arredondados 83">
              <a:extLst>
                <a:ext uri="{FF2B5EF4-FFF2-40B4-BE49-F238E27FC236}">
                  <a16:creationId xmlns:a16="http://schemas.microsoft.com/office/drawing/2014/main" id="{00000000-0008-0000-0000-000054000000}"/>
                </a:ext>
              </a:extLst>
            </xdr:cNvPr>
            <xdr:cNvSpPr/>
          </xdr:nvSpPr>
          <xdr:spPr bwMode="auto">
            <a:xfrm>
              <a:off x="10000209" y="589924"/>
              <a:ext cx="297678" cy="180000"/>
            </a:xfrm>
            <a:prstGeom prst="roundRect">
              <a:avLst/>
            </a:prstGeom>
            <a:solidFill>
              <a:schemeClr val="accent2">
                <a:lumMod val="50000"/>
              </a:schemeClr>
            </a:solidFill>
            <a:ln>
              <a:noFill/>
              <a:headEnd type="none" w="med" len="med"/>
              <a:tailEnd type="none" w="med" len="med"/>
            </a:ln>
          </xdr:spPr>
          <xdr:style>
            <a:lnRef idx="2">
              <a:schemeClr val="accent2">
                <a:shade val="50000"/>
              </a:schemeClr>
            </a:lnRef>
            <a:fillRef idx="1">
              <a:schemeClr val="accent2"/>
            </a:fillRef>
            <a:effectRef idx="0">
              <a:schemeClr val="accent2"/>
            </a:effectRef>
            <a:fontRef idx="minor">
              <a:schemeClr val="lt1"/>
            </a:fontRef>
          </xdr:style>
          <xdr:txBody>
            <a:bodyPr vertOverflow="clip" vert="horz" wrap="square" lIns="18288" tIns="0" rIns="0" bIns="0" rtlCol="0" anchor="ctr" upright="1"/>
            <a:lstStyle/>
            <a:p>
              <a:pPr algn="l"/>
              <a:r>
                <a:rPr lang="pt-PT" sz="900" b="0" cap="none" spc="0">
                  <a:ln w="0">
                    <a:noFill/>
                  </a:ln>
                  <a:solidFill>
                    <a:schemeClr val="bg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1.1</a:t>
              </a:r>
            </a:p>
          </xdr:txBody>
        </xdr:sp>
        <xdr:sp macro="" textlink="">
          <xdr:nvSpPr>
            <xdr:cNvPr id="85" name="Retângulo: Cantos Arredondados 84">
              <a:extLst>
                <a:ext uri="{FF2B5EF4-FFF2-40B4-BE49-F238E27FC236}">
                  <a16:creationId xmlns:a16="http://schemas.microsoft.com/office/drawing/2014/main" id="{00000000-0008-0000-0000-000055000000}"/>
                </a:ext>
              </a:extLst>
            </xdr:cNvPr>
            <xdr:cNvSpPr/>
          </xdr:nvSpPr>
          <xdr:spPr bwMode="auto">
            <a:xfrm>
              <a:off x="10000209" y="784191"/>
              <a:ext cx="297678" cy="180000"/>
            </a:xfrm>
            <a:prstGeom prst="roundRect">
              <a:avLst/>
            </a:prstGeom>
            <a:solidFill>
              <a:schemeClr val="accent2">
                <a:lumMod val="50000"/>
              </a:schemeClr>
            </a:solidFill>
            <a:ln>
              <a:noFill/>
              <a:headEnd type="none" w="med" len="med"/>
              <a:tailEnd type="none" w="med" len="med"/>
            </a:ln>
          </xdr:spPr>
          <xdr:style>
            <a:lnRef idx="2">
              <a:schemeClr val="accent2">
                <a:shade val="50000"/>
              </a:schemeClr>
            </a:lnRef>
            <a:fillRef idx="1">
              <a:schemeClr val="accent2"/>
            </a:fillRef>
            <a:effectRef idx="0">
              <a:schemeClr val="accent2"/>
            </a:effectRef>
            <a:fontRef idx="minor">
              <a:schemeClr val="lt1"/>
            </a:fontRef>
          </xdr:style>
          <xdr:txBody>
            <a:bodyPr vertOverflow="clip" vert="horz" wrap="square" lIns="18288" tIns="0" rIns="0" bIns="0" rtlCol="0" anchor="ctr" upright="1"/>
            <a:lstStyle/>
            <a:p>
              <a:pPr algn="l"/>
              <a:r>
                <a:rPr lang="pt-PT" sz="900" b="0" cap="none" spc="0">
                  <a:ln w="0">
                    <a:noFill/>
                  </a:ln>
                  <a:solidFill>
                    <a:schemeClr val="bg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1.5</a:t>
              </a:r>
            </a:p>
          </xdr:txBody>
        </xdr:sp>
        <xdr:sp macro="" textlink="">
          <xdr:nvSpPr>
            <xdr:cNvPr id="86" name="Retângulo: Cantos Arredondados 85">
              <a:extLst>
                <a:ext uri="{FF2B5EF4-FFF2-40B4-BE49-F238E27FC236}">
                  <a16:creationId xmlns:a16="http://schemas.microsoft.com/office/drawing/2014/main" id="{00000000-0008-0000-0000-000056000000}"/>
                </a:ext>
              </a:extLst>
            </xdr:cNvPr>
            <xdr:cNvSpPr/>
          </xdr:nvSpPr>
          <xdr:spPr bwMode="auto">
            <a:xfrm>
              <a:off x="10000209" y="978460"/>
              <a:ext cx="297678" cy="180000"/>
            </a:xfrm>
            <a:prstGeom prst="roundRect">
              <a:avLst/>
            </a:prstGeom>
            <a:solidFill>
              <a:schemeClr val="accent2">
                <a:lumMod val="50000"/>
              </a:schemeClr>
            </a:solidFill>
            <a:ln>
              <a:noFill/>
              <a:headEnd type="none" w="med" len="med"/>
              <a:tailEnd type="none" w="med" len="med"/>
            </a:ln>
          </xdr:spPr>
          <xdr:style>
            <a:lnRef idx="2">
              <a:schemeClr val="accent2">
                <a:shade val="50000"/>
              </a:schemeClr>
            </a:lnRef>
            <a:fillRef idx="1">
              <a:schemeClr val="accent2"/>
            </a:fillRef>
            <a:effectRef idx="0">
              <a:schemeClr val="accent2"/>
            </a:effectRef>
            <a:fontRef idx="minor">
              <a:schemeClr val="lt1"/>
            </a:fontRef>
          </xdr:style>
          <xdr:txBody>
            <a:bodyPr vertOverflow="clip" vert="horz" wrap="square" lIns="18288" tIns="0" rIns="0" bIns="0" rtlCol="0" anchor="ctr" upright="1"/>
            <a:lstStyle/>
            <a:p>
              <a:pPr algn="l"/>
              <a:r>
                <a:rPr lang="pt-PT" sz="900" b="0" cap="none" spc="0">
                  <a:ln w="0">
                    <a:noFill/>
                  </a:ln>
                  <a:solidFill>
                    <a:schemeClr val="bg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1.2</a:t>
              </a:r>
            </a:p>
          </xdr:txBody>
        </xdr:sp>
        <xdr:sp macro="" textlink="">
          <xdr:nvSpPr>
            <xdr:cNvPr id="87" name="Retângulo: Cantos Arredondados 86">
              <a:extLst>
                <a:ext uri="{FF2B5EF4-FFF2-40B4-BE49-F238E27FC236}">
                  <a16:creationId xmlns:a16="http://schemas.microsoft.com/office/drawing/2014/main" id="{00000000-0008-0000-0000-000057000000}"/>
                </a:ext>
              </a:extLst>
            </xdr:cNvPr>
            <xdr:cNvSpPr/>
          </xdr:nvSpPr>
          <xdr:spPr bwMode="auto">
            <a:xfrm>
              <a:off x="10000209" y="1176915"/>
              <a:ext cx="297678" cy="180000"/>
            </a:xfrm>
            <a:prstGeom prst="roundRect">
              <a:avLst/>
            </a:prstGeom>
            <a:solidFill>
              <a:schemeClr val="accent2">
                <a:lumMod val="50000"/>
              </a:schemeClr>
            </a:solidFill>
            <a:ln>
              <a:noFill/>
              <a:headEnd type="none" w="med" len="med"/>
              <a:tailEnd type="none" w="med" len="med"/>
            </a:ln>
          </xdr:spPr>
          <xdr:style>
            <a:lnRef idx="2">
              <a:schemeClr val="accent2">
                <a:shade val="50000"/>
              </a:schemeClr>
            </a:lnRef>
            <a:fillRef idx="1">
              <a:schemeClr val="accent2"/>
            </a:fillRef>
            <a:effectRef idx="0">
              <a:schemeClr val="accent2"/>
            </a:effectRef>
            <a:fontRef idx="minor">
              <a:schemeClr val="lt1"/>
            </a:fontRef>
          </xdr:style>
          <xdr:txBody>
            <a:bodyPr vertOverflow="clip" vert="horz" wrap="square" lIns="18288" tIns="0" rIns="0" bIns="0" rtlCol="0" anchor="ctr" upright="1"/>
            <a:lstStyle/>
            <a:p>
              <a:pPr algn="l"/>
              <a:r>
                <a:rPr lang="pt-PT" sz="900" b="0" cap="none" spc="0">
                  <a:ln w="0">
                    <a:noFill/>
                  </a:ln>
                  <a:solidFill>
                    <a:schemeClr val="bg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1.6</a:t>
              </a:r>
            </a:p>
          </xdr:txBody>
        </xdr:sp>
        <xdr:sp macro="" textlink="">
          <xdr:nvSpPr>
            <xdr:cNvPr id="88" name="Retângulo: Cantos Arredondados 87">
              <a:extLst>
                <a:ext uri="{FF2B5EF4-FFF2-40B4-BE49-F238E27FC236}">
                  <a16:creationId xmlns:a16="http://schemas.microsoft.com/office/drawing/2014/main" id="{00000000-0008-0000-0000-000058000000}"/>
                </a:ext>
              </a:extLst>
            </xdr:cNvPr>
            <xdr:cNvSpPr/>
          </xdr:nvSpPr>
          <xdr:spPr bwMode="auto">
            <a:xfrm>
              <a:off x="10000209" y="1371183"/>
              <a:ext cx="297678" cy="180000"/>
            </a:xfrm>
            <a:prstGeom prst="roundRect">
              <a:avLst/>
            </a:prstGeom>
            <a:solidFill>
              <a:schemeClr val="accent2">
                <a:lumMod val="50000"/>
              </a:schemeClr>
            </a:solidFill>
            <a:ln>
              <a:noFill/>
              <a:headEnd type="none" w="med" len="med"/>
              <a:tailEnd type="none" w="med" len="med"/>
            </a:ln>
          </xdr:spPr>
          <xdr:style>
            <a:lnRef idx="2">
              <a:schemeClr val="accent2">
                <a:shade val="50000"/>
              </a:schemeClr>
            </a:lnRef>
            <a:fillRef idx="1">
              <a:schemeClr val="accent2"/>
            </a:fillRef>
            <a:effectRef idx="0">
              <a:schemeClr val="accent2"/>
            </a:effectRef>
            <a:fontRef idx="minor">
              <a:schemeClr val="lt1"/>
            </a:fontRef>
          </xdr:style>
          <xdr:txBody>
            <a:bodyPr vertOverflow="clip" vert="horz" wrap="square" lIns="18288" tIns="0" rIns="0" bIns="0" rtlCol="0" anchor="ctr" upright="1"/>
            <a:lstStyle/>
            <a:p>
              <a:pPr algn="l"/>
              <a:r>
                <a:rPr lang="pt-PT" sz="900" b="0" cap="none" spc="0">
                  <a:ln w="0">
                    <a:noFill/>
                  </a:ln>
                  <a:solidFill>
                    <a:schemeClr val="bg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1.3</a:t>
              </a:r>
            </a:p>
          </xdr:txBody>
        </xdr:sp>
        <xdr:sp macro="" textlink="">
          <xdr:nvSpPr>
            <xdr:cNvPr id="89" name="Retângulo: Cantos Arredondados 88">
              <a:extLst>
                <a:ext uri="{FF2B5EF4-FFF2-40B4-BE49-F238E27FC236}">
                  <a16:creationId xmlns:a16="http://schemas.microsoft.com/office/drawing/2014/main" id="{00000000-0008-0000-0000-000059000000}"/>
                </a:ext>
              </a:extLst>
            </xdr:cNvPr>
            <xdr:cNvSpPr/>
          </xdr:nvSpPr>
          <xdr:spPr bwMode="auto">
            <a:xfrm>
              <a:off x="10000209" y="1569637"/>
              <a:ext cx="297678" cy="180000"/>
            </a:xfrm>
            <a:prstGeom prst="roundRect">
              <a:avLst/>
            </a:prstGeom>
            <a:solidFill>
              <a:schemeClr val="accent2">
                <a:lumMod val="50000"/>
              </a:schemeClr>
            </a:solidFill>
            <a:ln>
              <a:noFill/>
              <a:headEnd type="none" w="med" len="med"/>
              <a:tailEnd type="none" w="med" len="med"/>
            </a:ln>
          </xdr:spPr>
          <xdr:style>
            <a:lnRef idx="2">
              <a:schemeClr val="accent2">
                <a:shade val="50000"/>
              </a:schemeClr>
            </a:lnRef>
            <a:fillRef idx="1">
              <a:schemeClr val="accent2"/>
            </a:fillRef>
            <a:effectRef idx="0">
              <a:schemeClr val="accent2"/>
            </a:effectRef>
            <a:fontRef idx="minor">
              <a:schemeClr val="lt1"/>
            </a:fontRef>
          </xdr:style>
          <xdr:txBody>
            <a:bodyPr vertOverflow="clip" vert="horz" wrap="square" lIns="18288" tIns="0" rIns="0" bIns="0" rtlCol="0" anchor="ctr" upright="1"/>
            <a:lstStyle/>
            <a:p>
              <a:pPr algn="l"/>
              <a:r>
                <a:rPr lang="pt-PT" sz="900" b="0" cap="none" spc="0">
                  <a:ln w="0">
                    <a:noFill/>
                  </a:ln>
                  <a:solidFill>
                    <a:schemeClr val="bg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1.8</a:t>
              </a:r>
            </a:p>
          </xdr:txBody>
        </xdr:sp>
        <xdr:sp macro="" textlink="">
          <xdr:nvSpPr>
            <xdr:cNvPr id="90" name="Retângulo: Cantos Arredondados 89">
              <a:extLst>
                <a:ext uri="{FF2B5EF4-FFF2-40B4-BE49-F238E27FC236}">
                  <a16:creationId xmlns:a16="http://schemas.microsoft.com/office/drawing/2014/main" id="{00000000-0008-0000-0000-00005A000000}"/>
                </a:ext>
              </a:extLst>
            </xdr:cNvPr>
            <xdr:cNvSpPr/>
          </xdr:nvSpPr>
          <xdr:spPr bwMode="auto">
            <a:xfrm>
              <a:off x="10000209" y="1772278"/>
              <a:ext cx="297678" cy="180000"/>
            </a:xfrm>
            <a:prstGeom prst="roundRect">
              <a:avLst/>
            </a:prstGeom>
            <a:solidFill>
              <a:schemeClr val="accent2">
                <a:lumMod val="50000"/>
              </a:schemeClr>
            </a:solidFill>
            <a:ln>
              <a:noFill/>
              <a:headEnd type="none" w="med" len="med"/>
              <a:tailEnd type="none" w="med" len="med"/>
            </a:ln>
          </xdr:spPr>
          <xdr:style>
            <a:lnRef idx="2">
              <a:schemeClr val="accent2">
                <a:shade val="50000"/>
              </a:schemeClr>
            </a:lnRef>
            <a:fillRef idx="1">
              <a:schemeClr val="accent2"/>
            </a:fillRef>
            <a:effectRef idx="0">
              <a:schemeClr val="accent2"/>
            </a:effectRef>
            <a:fontRef idx="minor">
              <a:schemeClr val="lt1"/>
            </a:fontRef>
          </xdr:style>
          <xdr:txBody>
            <a:bodyPr vertOverflow="clip" vert="horz" wrap="square" lIns="18288" tIns="0" rIns="0" bIns="0" rtlCol="0" anchor="ctr" upright="1"/>
            <a:lstStyle/>
            <a:p>
              <a:pPr algn="l"/>
              <a:r>
                <a:rPr lang="pt-PT" sz="900" b="0" cap="none" spc="0">
                  <a:ln w="0">
                    <a:noFill/>
                  </a:ln>
                  <a:solidFill>
                    <a:schemeClr val="bg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1.10</a:t>
              </a:r>
            </a:p>
          </xdr:txBody>
        </xdr:sp>
        <xdr:sp macro="" textlink="">
          <xdr:nvSpPr>
            <xdr:cNvPr id="91" name="Retângulo: Cantos Arredondados 90">
              <a:extLst>
                <a:ext uri="{FF2B5EF4-FFF2-40B4-BE49-F238E27FC236}">
                  <a16:creationId xmlns:a16="http://schemas.microsoft.com/office/drawing/2014/main" id="{00000000-0008-0000-0000-00005B000000}"/>
                </a:ext>
              </a:extLst>
            </xdr:cNvPr>
            <xdr:cNvSpPr/>
          </xdr:nvSpPr>
          <xdr:spPr bwMode="auto">
            <a:xfrm>
              <a:off x="10000209" y="1966547"/>
              <a:ext cx="297678" cy="180000"/>
            </a:xfrm>
            <a:prstGeom prst="roundRect">
              <a:avLst/>
            </a:prstGeom>
            <a:solidFill>
              <a:schemeClr val="accent2">
                <a:lumMod val="50000"/>
              </a:schemeClr>
            </a:solidFill>
            <a:ln>
              <a:noFill/>
              <a:headEnd type="none" w="med" len="med"/>
              <a:tailEnd type="none" w="med" len="med"/>
            </a:ln>
          </xdr:spPr>
          <xdr:style>
            <a:lnRef idx="2">
              <a:schemeClr val="accent2">
                <a:shade val="50000"/>
              </a:schemeClr>
            </a:lnRef>
            <a:fillRef idx="1">
              <a:schemeClr val="accent2"/>
            </a:fillRef>
            <a:effectRef idx="0">
              <a:schemeClr val="accent2"/>
            </a:effectRef>
            <a:fontRef idx="minor">
              <a:schemeClr val="lt1"/>
            </a:fontRef>
          </xdr:style>
          <xdr:txBody>
            <a:bodyPr vertOverflow="clip" vert="horz" wrap="square" lIns="18288" tIns="0" rIns="0" bIns="0" rtlCol="0" anchor="ctr" upright="1"/>
            <a:lstStyle/>
            <a:p>
              <a:pPr algn="l"/>
              <a:r>
                <a:rPr lang="pt-PT" sz="900" b="0" cap="none" spc="0">
                  <a:ln w="0">
                    <a:noFill/>
                  </a:ln>
                  <a:solidFill>
                    <a:schemeClr val="bg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8.3</a:t>
              </a:r>
            </a:p>
          </xdr:txBody>
        </xdr:sp>
        <xdr:sp macro="" textlink="">
          <xdr:nvSpPr>
            <xdr:cNvPr id="92" name="Retângulo: Cantos Arredondados 91">
              <a:extLst>
                <a:ext uri="{FF2B5EF4-FFF2-40B4-BE49-F238E27FC236}">
                  <a16:creationId xmlns:a16="http://schemas.microsoft.com/office/drawing/2014/main" id="{00000000-0008-0000-0000-00005C000000}"/>
                </a:ext>
              </a:extLst>
            </xdr:cNvPr>
            <xdr:cNvSpPr/>
          </xdr:nvSpPr>
          <xdr:spPr bwMode="auto">
            <a:xfrm>
              <a:off x="10000209" y="2165001"/>
              <a:ext cx="297678" cy="180000"/>
            </a:xfrm>
            <a:prstGeom prst="roundRect">
              <a:avLst/>
            </a:prstGeom>
            <a:solidFill>
              <a:schemeClr val="accent2">
                <a:lumMod val="50000"/>
              </a:schemeClr>
            </a:solidFill>
            <a:ln>
              <a:noFill/>
              <a:headEnd type="none" w="med" len="med"/>
              <a:tailEnd type="none" w="med" len="med"/>
            </a:ln>
          </xdr:spPr>
          <xdr:style>
            <a:lnRef idx="2">
              <a:schemeClr val="accent2">
                <a:shade val="50000"/>
              </a:schemeClr>
            </a:lnRef>
            <a:fillRef idx="1">
              <a:schemeClr val="accent2"/>
            </a:fillRef>
            <a:effectRef idx="0">
              <a:schemeClr val="accent2"/>
            </a:effectRef>
            <a:fontRef idx="minor">
              <a:schemeClr val="lt1"/>
            </a:fontRef>
          </xdr:style>
          <xdr:txBody>
            <a:bodyPr vertOverflow="clip" vert="horz" wrap="square" lIns="18288" tIns="0" rIns="0" bIns="0" rtlCol="0" anchor="ctr" upright="1"/>
            <a:lstStyle/>
            <a:p>
              <a:pPr algn="l"/>
              <a:r>
                <a:rPr lang="pt-PT" sz="900" b="0" cap="none" spc="0">
                  <a:ln w="0">
                    <a:noFill/>
                  </a:ln>
                  <a:solidFill>
                    <a:schemeClr val="bg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9.3</a:t>
              </a:r>
            </a:p>
          </xdr:txBody>
        </xdr:sp>
        <xdr:sp macro="" textlink="">
          <xdr:nvSpPr>
            <xdr:cNvPr id="93" name="Retângulo: Cantos Arredondados 92">
              <a:extLst>
                <a:ext uri="{FF2B5EF4-FFF2-40B4-BE49-F238E27FC236}">
                  <a16:creationId xmlns:a16="http://schemas.microsoft.com/office/drawing/2014/main" id="{00000000-0008-0000-0000-00005D000000}"/>
                </a:ext>
              </a:extLst>
            </xdr:cNvPr>
            <xdr:cNvSpPr/>
          </xdr:nvSpPr>
          <xdr:spPr bwMode="auto">
            <a:xfrm>
              <a:off x="10000209" y="2359269"/>
              <a:ext cx="297678" cy="180000"/>
            </a:xfrm>
            <a:prstGeom prst="roundRect">
              <a:avLst/>
            </a:prstGeom>
            <a:solidFill>
              <a:schemeClr val="accent2">
                <a:lumMod val="50000"/>
              </a:schemeClr>
            </a:solidFill>
            <a:ln>
              <a:noFill/>
              <a:headEnd type="none" w="med" len="med"/>
              <a:tailEnd type="none" w="med" len="med"/>
            </a:ln>
          </xdr:spPr>
          <xdr:style>
            <a:lnRef idx="2">
              <a:schemeClr val="accent2">
                <a:shade val="50000"/>
              </a:schemeClr>
            </a:lnRef>
            <a:fillRef idx="1">
              <a:schemeClr val="accent2"/>
            </a:fillRef>
            <a:effectRef idx="0">
              <a:schemeClr val="accent2"/>
            </a:effectRef>
            <a:fontRef idx="minor">
              <a:schemeClr val="lt1"/>
            </a:fontRef>
          </xdr:style>
          <xdr:txBody>
            <a:bodyPr vertOverflow="clip" vert="horz" wrap="square" lIns="18288" tIns="0" rIns="0" bIns="0" rtlCol="0" anchor="ctr" upright="1"/>
            <a:lstStyle/>
            <a:p>
              <a:pPr algn="l"/>
              <a:r>
                <a:rPr lang="pt-PT" sz="900" b="0" cap="none" spc="0">
                  <a:ln w="0">
                    <a:noFill/>
                  </a:ln>
                  <a:solidFill>
                    <a:schemeClr val="bg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1.12</a:t>
              </a:r>
            </a:p>
          </xdr:txBody>
        </xdr:sp>
        <xdr:sp macro="" textlink="">
          <xdr:nvSpPr>
            <xdr:cNvPr id="94" name="Retângulo: Cantos Arredondados 93">
              <a:extLst>
                <a:ext uri="{FF2B5EF4-FFF2-40B4-BE49-F238E27FC236}">
                  <a16:creationId xmlns:a16="http://schemas.microsoft.com/office/drawing/2014/main" id="{00000000-0008-0000-0000-00005E000000}"/>
                </a:ext>
              </a:extLst>
            </xdr:cNvPr>
            <xdr:cNvSpPr/>
          </xdr:nvSpPr>
          <xdr:spPr bwMode="auto">
            <a:xfrm>
              <a:off x="10000209" y="2553539"/>
              <a:ext cx="297678" cy="159881"/>
            </a:xfrm>
            <a:prstGeom prst="roundRect">
              <a:avLst/>
            </a:prstGeom>
            <a:solidFill>
              <a:schemeClr val="accent2">
                <a:lumMod val="50000"/>
              </a:schemeClr>
            </a:solidFill>
            <a:ln>
              <a:noFill/>
              <a:headEnd type="none" w="med" len="med"/>
              <a:tailEnd type="none" w="med" len="med"/>
            </a:ln>
          </xdr:spPr>
          <xdr:style>
            <a:lnRef idx="2">
              <a:schemeClr val="accent2">
                <a:shade val="50000"/>
              </a:schemeClr>
            </a:lnRef>
            <a:fillRef idx="1">
              <a:schemeClr val="accent2"/>
            </a:fillRef>
            <a:effectRef idx="0">
              <a:schemeClr val="accent2"/>
            </a:effectRef>
            <a:fontRef idx="minor">
              <a:schemeClr val="lt1"/>
            </a:fontRef>
          </xdr:style>
          <xdr:txBody>
            <a:bodyPr vertOverflow="clip" vert="horz" wrap="square" lIns="18288" tIns="0" rIns="0" bIns="0" rtlCol="0" anchor="ctr" upright="1"/>
            <a:lstStyle/>
            <a:p>
              <a:pPr algn="l"/>
              <a:r>
                <a:rPr lang="pt-PT" sz="900" b="0" cap="none" spc="0">
                  <a:ln w="0">
                    <a:noFill/>
                  </a:ln>
                  <a:solidFill>
                    <a:schemeClr val="bg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1.13</a:t>
              </a:r>
            </a:p>
          </xdr:txBody>
        </xdr:sp>
        <xdr:sp macro="" textlink="">
          <xdr:nvSpPr>
            <xdr:cNvPr id="95" name="Retângulo: Cantos Arredondados 94">
              <a:extLst>
                <a:ext uri="{FF2B5EF4-FFF2-40B4-BE49-F238E27FC236}">
                  <a16:creationId xmlns:a16="http://schemas.microsoft.com/office/drawing/2014/main" id="{00000000-0008-0000-0000-00005F000000}"/>
                </a:ext>
              </a:extLst>
            </xdr:cNvPr>
            <xdr:cNvSpPr/>
          </xdr:nvSpPr>
          <xdr:spPr bwMode="auto">
            <a:xfrm>
              <a:off x="10000209" y="2739435"/>
              <a:ext cx="297678" cy="180676"/>
            </a:xfrm>
            <a:prstGeom prst="roundRect">
              <a:avLst/>
            </a:prstGeom>
            <a:solidFill>
              <a:schemeClr val="accent2">
                <a:lumMod val="50000"/>
              </a:schemeClr>
            </a:solidFill>
            <a:ln>
              <a:noFill/>
              <a:headEnd type="none" w="med" len="med"/>
              <a:tailEnd type="none" w="med" len="med"/>
            </a:ln>
          </xdr:spPr>
          <xdr:style>
            <a:lnRef idx="2">
              <a:schemeClr val="accent2">
                <a:shade val="50000"/>
              </a:schemeClr>
            </a:lnRef>
            <a:fillRef idx="1">
              <a:schemeClr val="accent2"/>
            </a:fillRef>
            <a:effectRef idx="0">
              <a:schemeClr val="accent2"/>
            </a:effectRef>
            <a:fontRef idx="minor">
              <a:schemeClr val="lt1"/>
            </a:fontRef>
          </xdr:style>
          <xdr:txBody>
            <a:bodyPr vertOverflow="clip" vert="horz" wrap="square" lIns="18288" tIns="0" rIns="0" bIns="0" rtlCol="0" anchor="ctr" upright="1"/>
            <a:lstStyle/>
            <a:p>
              <a:pPr algn="l"/>
              <a:r>
                <a:rPr lang="pt-PT" sz="900" b="0" cap="none" spc="0">
                  <a:ln w="0">
                    <a:noFill/>
                  </a:ln>
                  <a:solidFill>
                    <a:schemeClr val="bg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1.14</a:t>
              </a:r>
            </a:p>
          </xdr:txBody>
        </xdr:sp>
      </xdr:grpSp>
      <xdr:sp macro="" textlink="">
        <xdr:nvSpPr>
          <xdr:cNvPr id="96" name="Retângulo: Cantos Arredondados 95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/>
        </xdr:nvSpPr>
        <xdr:spPr bwMode="auto">
          <a:xfrm>
            <a:off x="357631" y="589303"/>
            <a:ext cx="584892" cy="180000"/>
          </a:xfrm>
          <a:prstGeom prst="roundRect">
            <a:avLst/>
          </a:prstGeom>
          <a:solidFill>
            <a:schemeClr val="accent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Quadr</a:t>
            </a:r>
            <a:r>
              <a:rPr lang="pt-PT" sz="900" b="0" cap="none" spc="0" baseline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o 3</a:t>
            </a:r>
            <a:endParaRPr lang="pt-PT" sz="900" b="0" cap="none" spc="0">
              <a:ln w="0">
                <a:noFill/>
              </a:ln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7" name="Retângulo: Cantos Arredondados 96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/>
        </xdr:nvSpPr>
        <xdr:spPr bwMode="auto">
          <a:xfrm>
            <a:off x="357631" y="783405"/>
            <a:ext cx="584892" cy="180000"/>
          </a:xfrm>
          <a:prstGeom prst="roundRect">
            <a:avLst/>
          </a:prstGeom>
          <a:solidFill>
            <a:schemeClr val="accent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Quadr</a:t>
            </a:r>
            <a:r>
              <a:rPr lang="pt-PT" sz="900" b="0" cap="none" spc="0" baseline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o 3</a:t>
            </a:r>
            <a:endParaRPr lang="pt-PT" sz="900" b="0" cap="none" spc="0">
              <a:ln w="0">
                <a:noFill/>
              </a:ln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8" name="Retângulo: Cantos Arredondados 97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/>
        </xdr:nvSpPr>
        <xdr:spPr bwMode="auto">
          <a:xfrm>
            <a:off x="357631" y="981866"/>
            <a:ext cx="584892" cy="171684"/>
          </a:xfrm>
          <a:prstGeom prst="roundRect">
            <a:avLst/>
          </a:prstGeom>
          <a:solidFill>
            <a:schemeClr val="accent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Quadr</a:t>
            </a:r>
            <a:r>
              <a:rPr lang="pt-PT" sz="900" b="0" cap="none" spc="0" baseline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o 3</a:t>
            </a:r>
            <a:endParaRPr lang="pt-PT" sz="900" b="0" cap="none" spc="0">
              <a:ln w="0">
                <a:noFill/>
              </a:ln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9" name="Retângulo: Cantos Arredondados 98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/>
        </xdr:nvSpPr>
        <xdr:spPr bwMode="auto">
          <a:xfrm>
            <a:off x="357631" y="1172005"/>
            <a:ext cx="584892" cy="180000"/>
          </a:xfrm>
          <a:prstGeom prst="roundRect">
            <a:avLst/>
          </a:prstGeom>
          <a:solidFill>
            <a:schemeClr val="accent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Quadr</a:t>
            </a:r>
            <a:r>
              <a:rPr lang="pt-PT" sz="900" b="0" cap="none" spc="0" baseline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o 3</a:t>
            </a:r>
            <a:endParaRPr lang="pt-PT" sz="900" b="0" cap="none" spc="0">
              <a:ln w="0">
                <a:noFill/>
              </a:ln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00" name="Retângulo: Cantos Arredondados 99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/>
        </xdr:nvSpPr>
        <xdr:spPr bwMode="auto">
          <a:xfrm>
            <a:off x="357631" y="1370460"/>
            <a:ext cx="584892" cy="180000"/>
          </a:xfrm>
          <a:prstGeom prst="roundRect">
            <a:avLst/>
          </a:prstGeom>
          <a:solidFill>
            <a:schemeClr val="accent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Quadr</a:t>
            </a:r>
            <a:r>
              <a:rPr lang="pt-PT" sz="900" b="0" cap="none" spc="0" baseline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o 3</a:t>
            </a:r>
            <a:endParaRPr lang="pt-PT" sz="900" b="0" cap="none" spc="0">
              <a:ln w="0">
                <a:noFill/>
              </a:ln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01" name="Retângulo: Cantos Arredondados 100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/>
        </xdr:nvSpPr>
        <xdr:spPr bwMode="auto">
          <a:xfrm>
            <a:off x="357631" y="1569080"/>
            <a:ext cx="584892" cy="180000"/>
          </a:xfrm>
          <a:prstGeom prst="roundRect">
            <a:avLst/>
          </a:prstGeom>
          <a:solidFill>
            <a:schemeClr val="accent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Quadr</a:t>
            </a:r>
            <a:r>
              <a:rPr lang="pt-PT" sz="900" b="0" cap="none" spc="0" baseline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o 3</a:t>
            </a:r>
            <a:endParaRPr lang="pt-PT" sz="900" b="0" cap="none" spc="0">
              <a:ln w="0">
                <a:noFill/>
              </a:ln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02" name="Retângulo: Cantos Arredondados 101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/>
        </xdr:nvSpPr>
        <xdr:spPr bwMode="auto">
          <a:xfrm>
            <a:off x="357631" y="1767535"/>
            <a:ext cx="584892" cy="180000"/>
          </a:xfrm>
          <a:prstGeom prst="roundRect">
            <a:avLst/>
          </a:prstGeom>
          <a:solidFill>
            <a:schemeClr val="accent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Quadr</a:t>
            </a:r>
            <a:r>
              <a:rPr lang="pt-PT" sz="900" b="0" cap="none" spc="0" baseline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o 4</a:t>
            </a:r>
            <a:endParaRPr lang="pt-PT" sz="900" b="0" cap="none" spc="0">
              <a:ln w="0">
                <a:noFill/>
              </a:ln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22</xdr:col>
      <xdr:colOff>62389</xdr:colOff>
      <xdr:row>49</xdr:row>
      <xdr:rowOff>170408</xdr:rowOff>
    </xdr:from>
    <xdr:to>
      <xdr:col>30</xdr:col>
      <xdr:colOff>70757</xdr:colOff>
      <xdr:row>50</xdr:row>
      <xdr:rowOff>206793</xdr:rowOff>
    </xdr:to>
    <xdr:sp macro="" textlink="">
      <xdr:nvSpPr>
        <xdr:cNvPr id="103" name="Retângulo: Cantos Arredondados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/>
      </xdr:nvSpPr>
      <xdr:spPr bwMode="auto">
        <a:xfrm>
          <a:off x="8335532" y="10441079"/>
          <a:ext cx="3159782" cy="216000"/>
        </a:xfrm>
        <a:prstGeom prst="roundRect">
          <a:avLst/>
        </a:prstGeom>
        <a:gradFill flip="none" rotWithShape="1">
          <a:gsLst>
            <a:gs pos="0">
              <a:schemeClr val="accent2">
                <a:lumMod val="50000"/>
              </a:schemeClr>
            </a:gs>
            <a:gs pos="52000">
              <a:schemeClr val="accent2">
                <a:lumMod val="89000"/>
              </a:schemeClr>
            </a:gs>
            <a:gs pos="57000">
              <a:schemeClr val="accent2">
                <a:lumMod val="75000"/>
              </a:schemeClr>
            </a:gs>
            <a:gs pos="97000">
              <a:schemeClr val="accent2">
                <a:lumMod val="50000"/>
              </a:schemeClr>
            </a:gs>
          </a:gsLst>
          <a:lin ang="2700000" scaled="1"/>
          <a:tileRect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Especificações gerais do sistema de canalização:</a:t>
          </a:r>
          <a:endParaRPr lang="pt-PT" sz="105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22</xdr:col>
      <xdr:colOff>62388</xdr:colOff>
      <xdr:row>52</xdr:row>
      <xdr:rowOff>173321</xdr:rowOff>
    </xdr:from>
    <xdr:to>
      <xdr:col>26</xdr:col>
      <xdr:colOff>347506</xdr:colOff>
      <xdr:row>54</xdr:row>
      <xdr:rowOff>27447</xdr:rowOff>
    </xdr:to>
    <xdr:sp macro="" textlink="">
      <xdr:nvSpPr>
        <xdr:cNvPr id="104" name="Retângulo: Cantos Arredondados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/>
      </xdr:nvSpPr>
      <xdr:spPr bwMode="auto">
        <a:xfrm>
          <a:off x="7959479" y="11239639"/>
          <a:ext cx="1185663" cy="217808"/>
        </a:xfrm>
        <a:prstGeom prst="roundRect">
          <a:avLst/>
        </a:prstGeom>
        <a:gradFill flip="none" rotWithShape="1">
          <a:gsLst>
            <a:gs pos="0">
              <a:schemeClr val="accent2">
                <a:lumMod val="50000"/>
              </a:schemeClr>
            </a:gs>
            <a:gs pos="47000">
              <a:schemeClr val="accent2">
                <a:lumMod val="89000"/>
              </a:schemeClr>
            </a:gs>
            <a:gs pos="55000">
              <a:schemeClr val="accent2">
                <a:lumMod val="75000"/>
              </a:schemeClr>
            </a:gs>
            <a:gs pos="97000">
              <a:schemeClr val="accent2">
                <a:lumMod val="50000"/>
              </a:schemeClr>
            </a:gs>
          </a:gsLst>
          <a:lin ang="2700000" scaled="1"/>
          <a:tileRect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Unidos mediante:</a:t>
          </a:r>
          <a:endParaRPr lang="pt-PT" sz="105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34</xdr:col>
      <xdr:colOff>488085</xdr:colOff>
      <xdr:row>49</xdr:row>
      <xdr:rowOff>7544</xdr:rowOff>
    </xdr:from>
    <xdr:to>
      <xdr:col>42</xdr:col>
      <xdr:colOff>343914</xdr:colOff>
      <xdr:row>51</xdr:row>
      <xdr:rowOff>141514</xdr:rowOff>
    </xdr:to>
    <xdr:grpSp>
      <xdr:nvGrpSpPr>
        <xdr:cNvPr id="7" name="Agrupar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14698890" y="10556790"/>
          <a:ext cx="2918673" cy="519919"/>
          <a:chOff x="14247727" y="10334311"/>
          <a:chExt cx="2914021" cy="533818"/>
        </a:xfrm>
      </xdr:grpSpPr>
      <xdr:sp macro="" textlink="">
        <xdr:nvSpPr>
          <xdr:cNvPr id="6721095" name="Rectangle 17">
            <a:extLst>
              <a:ext uri="{FF2B5EF4-FFF2-40B4-BE49-F238E27FC236}">
                <a16:creationId xmlns:a16="http://schemas.microsoft.com/office/drawing/2014/main" id="{00000000-0008-0000-0000-0000478E6600}"/>
              </a:ext>
            </a:extLst>
          </xdr:cNvPr>
          <xdr:cNvSpPr>
            <a:spLocks noChangeArrowheads="1"/>
          </xdr:cNvSpPr>
        </xdr:nvSpPr>
        <xdr:spPr bwMode="auto">
          <a:xfrm>
            <a:off x="15759500" y="10676869"/>
            <a:ext cx="475957" cy="106764"/>
          </a:xfrm>
          <a:prstGeom prst="rect">
            <a:avLst/>
          </a:prstGeom>
          <a:solidFill>
            <a:schemeClr val="bg2">
              <a:lumMod val="50000"/>
            </a:scheme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/>
          <a:lstStyle/>
          <a:p>
            <a:endParaRPr lang="pt-PT"/>
          </a:p>
        </xdr:txBody>
      </xdr:sp>
      <xdr:sp macro="" textlink="">
        <xdr:nvSpPr>
          <xdr:cNvPr id="28692" name="AutoShape 20">
            <a:extLst>
              <a:ext uri="{FF2B5EF4-FFF2-40B4-BE49-F238E27FC236}">
                <a16:creationId xmlns:a16="http://schemas.microsoft.com/office/drawing/2014/main" id="{00000000-0008-0000-0000-000014700000}"/>
              </a:ext>
            </a:extLst>
          </xdr:cNvPr>
          <xdr:cNvSpPr>
            <a:spLocks noChangeArrowheads="1"/>
          </xdr:cNvSpPr>
        </xdr:nvSpPr>
        <xdr:spPr bwMode="auto">
          <a:xfrm>
            <a:off x="14286598" y="10344017"/>
            <a:ext cx="1590130" cy="514406"/>
          </a:xfrm>
          <a:prstGeom prst="upArrowCallout">
            <a:avLst>
              <a:gd name="adj1" fmla="val 25931"/>
              <a:gd name="adj2" fmla="val 32902"/>
              <a:gd name="adj3" fmla="val 30356"/>
              <a:gd name="adj4" fmla="val 50727"/>
            </a:avLst>
          </a:prstGeom>
          <a:solidFill>
            <a:schemeClr val="bg2">
              <a:lumMod val="50000"/>
            </a:schemeClr>
          </a:solidFill>
          <a:ln w="9525">
            <a:noFill/>
            <a:miter lim="800000"/>
            <a:headEnd/>
            <a:tailEnd/>
          </a:ln>
          <a:effectLst>
            <a:softEdge rad="12700"/>
          </a:effectLst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endParaRPr lang="pt-PT" sz="1000" b="0" i="0" u="none" strike="noStrike" baseline="0">
              <a:solidFill>
                <a:schemeClr val="bg1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0241" name="AutoShape 5425">
            <a:extLst>
              <a:ext uri="{FF2B5EF4-FFF2-40B4-BE49-F238E27FC236}">
                <a16:creationId xmlns:a16="http://schemas.microsoft.com/office/drawing/2014/main" id="{00000000-0008-0000-0000-0000319D0000}"/>
              </a:ext>
            </a:extLst>
          </xdr:cNvPr>
          <xdr:cNvSpPr>
            <a:spLocks noChangeArrowheads="1"/>
          </xdr:cNvSpPr>
        </xdr:nvSpPr>
        <xdr:spPr bwMode="auto">
          <a:xfrm>
            <a:off x="16111923" y="10334311"/>
            <a:ext cx="1027635" cy="533818"/>
          </a:xfrm>
          <a:prstGeom prst="upArrowCallout">
            <a:avLst>
              <a:gd name="adj1" fmla="val 26052"/>
              <a:gd name="adj2" fmla="val 31075"/>
              <a:gd name="adj3" fmla="val 30190"/>
              <a:gd name="adj4" fmla="val 50727"/>
            </a:avLst>
          </a:prstGeom>
          <a:solidFill>
            <a:schemeClr val="bg2">
              <a:lumMod val="50000"/>
            </a:schemeClr>
          </a:solidFill>
          <a:ln w="9525">
            <a:noFill/>
            <a:miter lim="800000"/>
            <a:headEnd/>
            <a:tailEnd/>
          </a:ln>
          <a:effectLst>
            <a:softEdge rad="12700"/>
          </a:effectLst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endParaRPr lang="pt-PT" sz="1000" b="0" i="0" u="none" strike="noStrike" baseline="0">
              <a:solidFill>
                <a:schemeClr val="bg1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05" name="Retângulo: Cantos Arredondados 104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/>
        </xdr:nvSpPr>
        <xdr:spPr bwMode="auto">
          <a:xfrm>
            <a:off x="14247727" y="10588034"/>
            <a:ext cx="1708220" cy="276747"/>
          </a:xfrm>
          <a:prstGeom prst="roundRect">
            <a:avLst/>
          </a:prstGeom>
          <a:solidFill>
            <a:schemeClr val="bg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ctr"/>
            <a:r>
              <a:rPr lang="el-GR" sz="1100" b="0" i="0" baseline="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Δ</a:t>
            </a:r>
            <a:r>
              <a:rPr lang="pt-PT" sz="1100" b="0" i="0" baseline="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</a:t>
            </a:r>
            <a:r>
              <a:rPr lang="pt-PT" sz="1100" b="0" i="0" baseline="-2500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acum.R.P </a:t>
            </a:r>
            <a:r>
              <a:rPr lang="pt-PT" sz="1100" b="0" i="0" baseline="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≤ </a:t>
            </a:r>
            <a:r>
              <a:rPr lang="el-GR" sz="1100" b="0" i="0" baseline="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Δ</a:t>
            </a:r>
            <a:r>
              <a:rPr lang="pt-PT" sz="1100" b="0" i="0" baseline="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</a:t>
            </a:r>
            <a:r>
              <a:rPr lang="pt-PT" sz="1100" b="0" i="0" baseline="-2500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acum.admissível</a:t>
            </a:r>
            <a:endParaRPr lang="pt-PT" sz="900" b="0" cap="none" spc="0">
              <a:ln w="0">
                <a:noFill/>
              </a:ln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06" name="Retângulo: Cantos Arredondados 105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/>
        </xdr:nvSpPr>
        <xdr:spPr bwMode="auto">
          <a:xfrm>
            <a:off x="16102908" y="10588034"/>
            <a:ext cx="1058840" cy="276747"/>
          </a:xfrm>
          <a:prstGeom prst="roundRect">
            <a:avLst/>
          </a:prstGeom>
          <a:solidFill>
            <a:schemeClr val="bg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ctr"/>
            <a:r>
              <a:rPr lang="pt-PT" sz="1100" b="0" i="0" baseline="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V ≤ V</a:t>
            </a:r>
            <a:r>
              <a:rPr lang="pt-PT" sz="1100" b="0" i="0" baseline="-2500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admissível</a:t>
            </a:r>
            <a:endParaRPr lang="pt-PT" sz="900" b="0" cap="none" spc="0">
              <a:ln w="0">
                <a:noFill/>
              </a:ln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2632</xdr:colOff>
      <xdr:row>0</xdr:row>
      <xdr:rowOff>39779</xdr:rowOff>
    </xdr:from>
    <xdr:to>
      <xdr:col>17</xdr:col>
      <xdr:colOff>493567</xdr:colOff>
      <xdr:row>2</xdr:row>
      <xdr:rowOff>5443</xdr:rowOff>
    </xdr:to>
    <xdr:sp macro="" textlink="">
      <xdr:nvSpPr>
        <xdr:cNvPr id="109" name="Retângulo: Cantos Arredondados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/>
      </xdr:nvSpPr>
      <xdr:spPr bwMode="auto">
        <a:xfrm>
          <a:off x="37268" y="39779"/>
          <a:ext cx="6838049" cy="286050"/>
        </a:xfrm>
        <a:prstGeom prst="roundRect">
          <a:avLst/>
        </a:prstGeom>
        <a:gradFill flip="none" rotWithShape="1">
          <a:gsLst>
            <a:gs pos="0">
              <a:schemeClr val="accent2">
                <a:lumMod val="50000"/>
              </a:schemeClr>
            </a:gs>
            <a:gs pos="46000">
              <a:schemeClr val="accent2">
                <a:lumMod val="89000"/>
              </a:schemeClr>
            </a:gs>
            <a:gs pos="51000">
              <a:schemeClr val="accent2">
                <a:lumMod val="75000"/>
              </a:schemeClr>
            </a:gs>
            <a:gs pos="97000">
              <a:schemeClr val="accent2">
                <a:lumMod val="50000"/>
              </a:schemeClr>
            </a:gs>
          </a:gsLst>
          <a:lin ang="16200000" scaled="1"/>
          <a:tileRect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pt-PT" sz="14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Dimensionamento de Sistema de Extinção Automática </a:t>
          </a:r>
          <a:r>
            <a:rPr lang="pt-PT" sz="12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(Rede de Sprinklers Tipo Húmida)</a:t>
          </a:r>
          <a:endParaRPr lang="pt-PT" sz="120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39</xdr:col>
      <xdr:colOff>72742</xdr:colOff>
      <xdr:row>51</xdr:row>
      <xdr:rowOff>168234</xdr:rowOff>
    </xdr:from>
    <xdr:to>
      <xdr:col>43</xdr:col>
      <xdr:colOff>236381</xdr:colOff>
      <xdr:row>56</xdr:row>
      <xdr:rowOff>159505</xdr:rowOff>
    </xdr:to>
    <xdr:grpSp>
      <xdr:nvGrpSpPr>
        <xdr:cNvPr id="3" name="Agrupar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16163807" y="11103429"/>
          <a:ext cx="1781652" cy="881921"/>
          <a:chOff x="15881769" y="11053948"/>
          <a:chExt cx="1687639" cy="881920"/>
        </a:xfrm>
      </xdr:grpSpPr>
      <xdr:pic>
        <xdr:nvPicPr>
          <xdr:cNvPr id="6721098" name="Picture 5501" descr="Resize of logoapta">
            <a:extLst>
              <a:ext uri="{FF2B5EF4-FFF2-40B4-BE49-F238E27FC236}">
                <a16:creationId xmlns:a16="http://schemas.microsoft.com/office/drawing/2014/main" id="{00000000-0008-0000-0000-00004A8E66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lum contras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375413" y="11053948"/>
            <a:ext cx="1133453" cy="6659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0328" name="Text Box 5512">
            <a:extLst>
              <a:ext uri="{FF2B5EF4-FFF2-40B4-BE49-F238E27FC236}">
                <a16:creationId xmlns:a16="http://schemas.microsoft.com/office/drawing/2014/main" id="{00000000-0008-0000-0000-0000889D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6146899" y="11765940"/>
            <a:ext cx="1422509" cy="1583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pt-PT" sz="8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Autor: </a:t>
            </a:r>
            <a:r>
              <a:rPr lang="pt-PT" sz="8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Paulo Gomes</a:t>
            </a:r>
            <a:r>
              <a:rPr lang="pt-PT" sz="7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,</a:t>
            </a:r>
            <a:r>
              <a:rPr lang="pt-PT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 </a:t>
            </a:r>
            <a:r>
              <a:rPr lang="pt-PT" sz="7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Engº</a:t>
            </a:r>
          </a:p>
        </xdr:txBody>
      </xdr:sp>
      <xdr:sp macro="" textlink="">
        <xdr:nvSpPr>
          <xdr:cNvPr id="40331" name="Text Box 55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8B9D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81769" y="11430224"/>
            <a:ext cx="818260" cy="1976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info@apta.pt</a:t>
            </a:r>
          </a:p>
        </xdr:txBody>
      </xdr:sp>
      <xdr:sp macro="" textlink="">
        <xdr:nvSpPr>
          <xdr:cNvPr id="40326" name="Text Box 5510">
            <a:extLst>
              <a:ext uri="{FF2B5EF4-FFF2-40B4-BE49-F238E27FC236}">
                <a16:creationId xmlns:a16="http://schemas.microsoft.com/office/drawing/2014/main" id="{00000000-0008-0000-0000-0000869D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922558" y="11741615"/>
            <a:ext cx="335959" cy="1942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36576" tIns="22860" rIns="36576" bIns="22860" anchor="ctr" upright="1"/>
          <a:lstStyle/>
          <a:p>
            <a:pPr algn="ctr" rtl="0">
              <a:defRPr sz="1000"/>
            </a:pPr>
            <a:r>
              <a:rPr lang="pt-PT" sz="12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®</a:t>
            </a:r>
          </a:p>
        </xdr:txBody>
      </xdr:sp>
      <xdr:sp macro="" textlink="">
        <xdr:nvSpPr>
          <xdr:cNvPr id="107" name="Text Box 55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918384" y="11603181"/>
            <a:ext cx="751603" cy="1731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www.apta.pt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47625</xdr:colOff>
      <xdr:row>73</xdr:row>
      <xdr:rowOff>9525</xdr:rowOff>
    </xdr:from>
    <xdr:to>
      <xdr:col>10</xdr:col>
      <xdr:colOff>180975</xdr:colOff>
      <xdr:row>73</xdr:row>
      <xdr:rowOff>180975</xdr:rowOff>
    </xdr:to>
    <xdr:sp macro="" textlink="">
      <xdr:nvSpPr>
        <xdr:cNvPr id="6730158" name="AutoShape 48">
          <a:extLst>
            <a:ext uri="{FF2B5EF4-FFF2-40B4-BE49-F238E27FC236}">
              <a16:creationId xmlns:a16="http://schemas.microsoft.com/office/drawing/2014/main" id="{00000000-0008-0000-0900-0000AEB16600}"/>
            </a:ext>
          </a:extLst>
        </xdr:cNvPr>
        <xdr:cNvSpPr>
          <a:spLocks noChangeArrowheads="1"/>
        </xdr:cNvSpPr>
      </xdr:nvSpPr>
      <xdr:spPr bwMode="auto">
        <a:xfrm>
          <a:off x="7734300" y="16944975"/>
          <a:ext cx="1428750" cy="171450"/>
        </a:xfrm>
        <a:prstGeom prst="rightArrow">
          <a:avLst>
            <a:gd name="adj1" fmla="val 47824"/>
            <a:gd name="adj2" fmla="val 87461"/>
          </a:avLst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0</xdr:colOff>
      <xdr:row>87</xdr:row>
      <xdr:rowOff>7409</xdr:rowOff>
    </xdr:from>
    <xdr:to>
      <xdr:col>13</xdr:col>
      <xdr:colOff>762000</xdr:colOff>
      <xdr:row>89</xdr:row>
      <xdr:rowOff>35984</xdr:rowOff>
    </xdr:to>
    <xdr:grpSp>
      <xdr:nvGrpSpPr>
        <xdr:cNvPr id="6730159" name="Group 80">
          <a:extLst>
            <a:ext uri="{FF2B5EF4-FFF2-40B4-BE49-F238E27FC236}">
              <a16:creationId xmlns:a16="http://schemas.microsoft.com/office/drawing/2014/main" id="{00000000-0008-0000-0900-0000AFB16600}"/>
            </a:ext>
          </a:extLst>
        </xdr:cNvPr>
        <xdr:cNvGrpSpPr>
          <a:grpSpLocks/>
        </xdr:cNvGrpSpPr>
      </xdr:nvGrpSpPr>
      <xdr:grpSpPr bwMode="auto">
        <a:xfrm>
          <a:off x="11251870" y="20423072"/>
          <a:ext cx="1266702" cy="191860"/>
          <a:chOff x="1218" y="2023"/>
          <a:chExt cx="130" cy="29"/>
        </a:xfrm>
      </xdr:grpSpPr>
      <xdr:sp macro="" textlink="">
        <xdr:nvSpPr>
          <xdr:cNvPr id="5" name="Text Box 81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51" y="2023"/>
            <a:ext cx="97" cy="29"/>
          </a:xfrm>
          <a:prstGeom prst="rect">
            <a:avLst/>
          </a:prstGeom>
          <a:solidFill>
            <a:srgbClr val="969696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72000" tIns="46800" rIns="90000" bIns="46800" anchor="ctr" upright="1"/>
          <a:lstStyle/>
          <a:p>
            <a:pPr algn="l" rtl="0">
              <a:defRPr sz="1000"/>
            </a:pP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Pág.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 </a:t>
            </a: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de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</a:t>
            </a:r>
          </a:p>
        </xdr:txBody>
      </xdr:sp>
      <xdr:sp macro="" textlink="">
        <xdr:nvSpPr>
          <xdr:cNvPr id="6730208" name="Line 82">
            <a:extLst>
              <a:ext uri="{FF2B5EF4-FFF2-40B4-BE49-F238E27FC236}">
                <a16:creationId xmlns:a16="http://schemas.microsoft.com/office/drawing/2014/main" id="{00000000-0008-0000-0900-0000E0B16600}"/>
              </a:ext>
            </a:extLst>
          </xdr:cNvPr>
          <xdr:cNvSpPr>
            <a:spLocks noChangeShapeType="1"/>
          </xdr:cNvSpPr>
        </xdr:nvSpPr>
        <xdr:spPr bwMode="auto">
          <a:xfrm>
            <a:off x="1245" y="2023"/>
            <a:ext cx="0" cy="29"/>
          </a:xfrm>
          <a:prstGeom prst="line">
            <a:avLst/>
          </a:prstGeom>
          <a:noFill/>
          <a:ln w="57150">
            <a:solidFill>
              <a:srgbClr val="969696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30209" name="Line 83">
            <a:extLst>
              <a:ext uri="{FF2B5EF4-FFF2-40B4-BE49-F238E27FC236}">
                <a16:creationId xmlns:a16="http://schemas.microsoft.com/office/drawing/2014/main" id="{00000000-0008-0000-0900-0000E1B16600}"/>
              </a:ext>
            </a:extLst>
          </xdr:cNvPr>
          <xdr:cNvSpPr>
            <a:spLocks noChangeShapeType="1"/>
          </xdr:cNvSpPr>
        </xdr:nvSpPr>
        <xdr:spPr bwMode="auto">
          <a:xfrm>
            <a:off x="1236" y="2023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30210" name="Line 84">
            <a:extLst>
              <a:ext uri="{FF2B5EF4-FFF2-40B4-BE49-F238E27FC236}">
                <a16:creationId xmlns:a16="http://schemas.microsoft.com/office/drawing/2014/main" id="{00000000-0008-0000-0900-0000E2B16600}"/>
              </a:ext>
            </a:extLst>
          </xdr:cNvPr>
          <xdr:cNvSpPr>
            <a:spLocks noChangeShapeType="1"/>
          </xdr:cNvSpPr>
        </xdr:nvSpPr>
        <xdr:spPr bwMode="auto">
          <a:xfrm>
            <a:off x="1227" y="2023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30211" name="Line 85">
            <a:extLst>
              <a:ext uri="{FF2B5EF4-FFF2-40B4-BE49-F238E27FC236}">
                <a16:creationId xmlns:a16="http://schemas.microsoft.com/office/drawing/2014/main" id="{00000000-0008-0000-0900-0000E3B16600}"/>
              </a:ext>
            </a:extLst>
          </xdr:cNvPr>
          <xdr:cNvSpPr>
            <a:spLocks noChangeShapeType="1"/>
          </xdr:cNvSpPr>
        </xdr:nvSpPr>
        <xdr:spPr bwMode="auto">
          <a:xfrm>
            <a:off x="1218" y="2023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19050</xdr:colOff>
      <xdr:row>73</xdr:row>
      <xdr:rowOff>0</xdr:rowOff>
    </xdr:from>
    <xdr:to>
      <xdr:col>12</xdr:col>
      <xdr:colOff>285750</xdr:colOff>
      <xdr:row>73</xdr:row>
      <xdr:rowOff>180975</xdr:rowOff>
    </xdr:to>
    <xdr:sp macro="" textlink="">
      <xdr:nvSpPr>
        <xdr:cNvPr id="10" name="Text Box 97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>
          <a:spLocks noChangeArrowheads="1"/>
        </xdr:cNvSpPr>
      </xdr:nvSpPr>
      <xdr:spPr bwMode="auto">
        <a:xfrm>
          <a:off x="10515600" y="14411325"/>
          <a:ext cx="2667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PT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ou </a:t>
          </a:r>
        </a:p>
      </xdr:txBody>
    </xdr:sp>
    <xdr:clientData/>
  </xdr:twoCellAnchor>
  <xdr:twoCellAnchor>
    <xdr:from>
      <xdr:col>10</xdr:col>
      <xdr:colOff>238125</xdr:colOff>
      <xdr:row>73</xdr:row>
      <xdr:rowOff>0</xdr:rowOff>
    </xdr:from>
    <xdr:to>
      <xdr:col>12</xdr:col>
      <xdr:colOff>85725</xdr:colOff>
      <xdr:row>73</xdr:row>
      <xdr:rowOff>180975</xdr:rowOff>
    </xdr:to>
    <xdr:sp macro="" textlink="">
      <xdr:nvSpPr>
        <xdr:cNvPr id="11" name="Text Box 98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>
          <a:spLocks noChangeArrowheads="1"/>
        </xdr:cNvSpPr>
      </xdr:nvSpPr>
      <xdr:spPr bwMode="auto">
        <a:xfrm>
          <a:off x="9105900" y="14401800"/>
          <a:ext cx="14763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PT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Fórmula de Hazen &amp; Williams</a:t>
          </a:r>
        </a:p>
      </xdr:txBody>
    </xdr:sp>
    <xdr:clientData/>
  </xdr:twoCellAnchor>
  <xdr:twoCellAnchor>
    <xdr:from>
      <xdr:col>12</xdr:col>
      <xdr:colOff>247650</xdr:colOff>
      <xdr:row>73</xdr:row>
      <xdr:rowOff>0</xdr:rowOff>
    </xdr:from>
    <xdr:to>
      <xdr:col>13</xdr:col>
      <xdr:colOff>742950</xdr:colOff>
      <xdr:row>73</xdr:row>
      <xdr:rowOff>180975</xdr:rowOff>
    </xdr:to>
    <xdr:sp macro="" textlink="">
      <xdr:nvSpPr>
        <xdr:cNvPr id="12" name="Text Box 96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>
          <a:spLocks noChangeArrowheads="1"/>
        </xdr:cNvSpPr>
      </xdr:nvSpPr>
      <xdr:spPr bwMode="auto">
        <a:xfrm>
          <a:off x="10744200" y="14401800"/>
          <a:ext cx="971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pt-PT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Fórmula de Flamant</a:t>
          </a:r>
        </a:p>
      </xdr:txBody>
    </xdr:sp>
    <xdr:clientData/>
  </xdr:twoCellAnchor>
  <xdr:twoCellAnchor editAs="oneCell">
    <xdr:from>
      <xdr:col>8</xdr:col>
      <xdr:colOff>76200</xdr:colOff>
      <xdr:row>79</xdr:row>
      <xdr:rowOff>19051</xdr:rowOff>
    </xdr:from>
    <xdr:to>
      <xdr:col>10</xdr:col>
      <xdr:colOff>19050</xdr:colOff>
      <xdr:row>79</xdr:row>
      <xdr:rowOff>268549</xdr:rowOff>
    </xdr:to>
    <xdr:pic>
      <xdr:nvPicPr>
        <xdr:cNvPr id="6730165" name="Imagem 50" descr="RI-Fórmula Velocidade.png">
          <a:extLst>
            <a:ext uri="{FF2B5EF4-FFF2-40B4-BE49-F238E27FC236}">
              <a16:creationId xmlns:a16="http://schemas.microsoft.com/office/drawing/2014/main" id="{00000000-0008-0000-0900-0000B5B1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18316576"/>
          <a:ext cx="1238250" cy="249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44</xdr:row>
      <xdr:rowOff>19050</xdr:rowOff>
    </xdr:from>
    <xdr:to>
      <xdr:col>9</xdr:col>
      <xdr:colOff>381000</xdr:colOff>
      <xdr:row>44</xdr:row>
      <xdr:rowOff>257175</xdr:rowOff>
    </xdr:to>
    <xdr:pic>
      <xdr:nvPicPr>
        <xdr:cNvPr id="6730167" name="Imagem 66" descr="RI-Fórmula Afectação da Perda de Carda Local.png">
          <a:extLst>
            <a:ext uri="{FF2B5EF4-FFF2-40B4-BE49-F238E27FC236}">
              <a16:creationId xmlns:a16="http://schemas.microsoft.com/office/drawing/2014/main" id="{00000000-0008-0000-0900-0000B7B1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8972550"/>
          <a:ext cx="9144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43</xdr:row>
      <xdr:rowOff>0</xdr:rowOff>
    </xdr:from>
    <xdr:to>
      <xdr:col>9</xdr:col>
      <xdr:colOff>466725</xdr:colOff>
      <xdr:row>44</xdr:row>
      <xdr:rowOff>0</xdr:rowOff>
    </xdr:to>
    <xdr:pic>
      <xdr:nvPicPr>
        <xdr:cNvPr id="6730168" name="Imagem 67" descr="RI-Fórmula da Perda de Carda Local Detalhada.png">
          <a:extLst>
            <a:ext uri="{FF2B5EF4-FFF2-40B4-BE49-F238E27FC236}">
              <a16:creationId xmlns:a16="http://schemas.microsoft.com/office/drawing/2014/main" id="{00000000-0008-0000-0900-0000B8B1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8696325"/>
          <a:ext cx="10001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28</xdr:row>
      <xdr:rowOff>38100</xdr:rowOff>
    </xdr:from>
    <xdr:to>
      <xdr:col>10</xdr:col>
      <xdr:colOff>247650</xdr:colOff>
      <xdr:row>28</xdr:row>
      <xdr:rowOff>295275</xdr:rowOff>
    </xdr:to>
    <xdr:pic>
      <xdr:nvPicPr>
        <xdr:cNvPr id="6730169" name="Imagem 38" descr="RI-Fórmula Pressão Mínima por Sprinkler.png">
          <a:extLst>
            <a:ext uri="{FF2B5EF4-FFF2-40B4-BE49-F238E27FC236}">
              <a16:creationId xmlns:a16="http://schemas.microsoft.com/office/drawing/2014/main" id="{00000000-0008-0000-0900-0000B9B1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5248275"/>
          <a:ext cx="1476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26</xdr:row>
      <xdr:rowOff>28575</xdr:rowOff>
    </xdr:from>
    <xdr:to>
      <xdr:col>9</xdr:col>
      <xdr:colOff>542925</xdr:colOff>
      <xdr:row>26</xdr:row>
      <xdr:rowOff>285750</xdr:rowOff>
    </xdr:to>
    <xdr:pic>
      <xdr:nvPicPr>
        <xdr:cNvPr id="6730170" name="Imagem 39" descr="RI-Fórmula Caudal Mínimo por Sprinkler.png">
          <a:extLst>
            <a:ext uri="{FF2B5EF4-FFF2-40B4-BE49-F238E27FC236}">
              <a16:creationId xmlns:a16="http://schemas.microsoft.com/office/drawing/2014/main" id="{00000000-0008-0000-0900-0000BAB1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4762500"/>
          <a:ext cx="10763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24</xdr:row>
      <xdr:rowOff>57150</xdr:rowOff>
    </xdr:from>
    <xdr:to>
      <xdr:col>10</xdr:col>
      <xdr:colOff>209550</xdr:colOff>
      <xdr:row>25</xdr:row>
      <xdr:rowOff>0</xdr:rowOff>
    </xdr:to>
    <xdr:pic>
      <xdr:nvPicPr>
        <xdr:cNvPr id="6730171" name="Imagem 41" descr="RI-Fórmula Nº Sprinklers em funcionamento simultâneo por sub-ramal.png">
          <a:extLst>
            <a:ext uri="{FF2B5EF4-FFF2-40B4-BE49-F238E27FC236}">
              <a16:creationId xmlns:a16="http://schemas.microsoft.com/office/drawing/2014/main" id="{00000000-0008-0000-0900-0000BBB1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4286250"/>
          <a:ext cx="1428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20</xdr:row>
      <xdr:rowOff>276225</xdr:rowOff>
    </xdr:from>
    <xdr:to>
      <xdr:col>9</xdr:col>
      <xdr:colOff>495300</xdr:colOff>
      <xdr:row>21</xdr:row>
      <xdr:rowOff>228600</xdr:rowOff>
    </xdr:to>
    <xdr:pic>
      <xdr:nvPicPr>
        <xdr:cNvPr id="6730172" name="Imagem 42" descr="RI-Fórmula Nº Sprinklers em funcionamento simultâneo.png">
          <a:extLst>
            <a:ext uri="{FF2B5EF4-FFF2-40B4-BE49-F238E27FC236}">
              <a16:creationId xmlns:a16="http://schemas.microsoft.com/office/drawing/2014/main" id="{00000000-0008-0000-0900-0000BCB1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5" y="3543300"/>
          <a:ext cx="1047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22</xdr:row>
      <xdr:rowOff>161925</xdr:rowOff>
    </xdr:from>
    <xdr:to>
      <xdr:col>9</xdr:col>
      <xdr:colOff>47625</xdr:colOff>
      <xdr:row>24</xdr:row>
      <xdr:rowOff>28575</xdr:rowOff>
    </xdr:to>
    <xdr:pic>
      <xdr:nvPicPr>
        <xdr:cNvPr id="6730173" name="Imagem 44" descr="RI-Fórmula Afastamento Sub-Ramais.png">
          <a:extLst>
            <a:ext uri="{FF2B5EF4-FFF2-40B4-BE49-F238E27FC236}">
              <a16:creationId xmlns:a16="http://schemas.microsoft.com/office/drawing/2014/main" id="{00000000-0008-0000-0900-0000BDB1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4029075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457199</xdr:colOff>
      <xdr:row>21</xdr:row>
      <xdr:rowOff>38099</xdr:rowOff>
    </xdr:from>
    <xdr:to>
      <xdr:col>11</xdr:col>
      <xdr:colOff>533399</xdr:colOff>
      <xdr:row>21</xdr:row>
      <xdr:rowOff>257175</xdr:rowOff>
    </xdr:to>
    <xdr:sp macro="" textlink="">
      <xdr:nvSpPr>
        <xdr:cNvPr id="47" name="Text Box 98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SpPr txBox="1">
          <a:spLocks noChangeArrowheads="1"/>
        </xdr:cNvSpPr>
      </xdr:nvSpPr>
      <xdr:spPr bwMode="auto">
        <a:xfrm>
          <a:off x="8753474" y="3629024"/>
          <a:ext cx="1495425" cy="219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l" rtl="0">
            <a:defRPr sz="1000"/>
          </a:pPr>
          <a:r>
            <a:rPr lang="pt-PT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Critérios NFPA 13 ou EN 12845</a:t>
          </a:r>
        </a:p>
      </xdr:txBody>
    </xdr:sp>
    <xdr:clientData/>
  </xdr:twoCellAnchor>
  <xdr:twoCellAnchor>
    <xdr:from>
      <xdr:col>13</xdr:col>
      <xdr:colOff>104775</xdr:colOff>
      <xdr:row>21</xdr:row>
      <xdr:rowOff>57149</xdr:rowOff>
    </xdr:from>
    <xdr:to>
      <xdr:col>14</xdr:col>
      <xdr:colOff>9525</xdr:colOff>
      <xdr:row>21</xdr:row>
      <xdr:rowOff>219074</xdr:rowOff>
    </xdr:to>
    <xdr:sp macro="" textlink="">
      <xdr:nvSpPr>
        <xdr:cNvPr id="48" name="Text Box 96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SpPr txBox="1">
          <a:spLocks noChangeArrowheads="1"/>
        </xdr:cNvSpPr>
      </xdr:nvSpPr>
      <xdr:spPr bwMode="auto">
        <a:xfrm>
          <a:off x="11191875" y="3648074"/>
          <a:ext cx="8191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pt-PT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Critério RTSCIE</a:t>
          </a:r>
        </a:p>
      </xdr:txBody>
    </xdr:sp>
    <xdr:clientData/>
  </xdr:twoCellAnchor>
  <xdr:twoCellAnchor editAs="oneCell">
    <xdr:from>
      <xdr:col>11</xdr:col>
      <xdr:colOff>533400</xdr:colOff>
      <xdr:row>20</xdr:row>
      <xdr:rowOff>295275</xdr:rowOff>
    </xdr:from>
    <xdr:to>
      <xdr:col>13</xdr:col>
      <xdr:colOff>114300</xdr:colOff>
      <xdr:row>21</xdr:row>
      <xdr:rowOff>238125</xdr:rowOff>
    </xdr:to>
    <xdr:pic>
      <xdr:nvPicPr>
        <xdr:cNvPr id="6730176" name="Imagem 49" descr="RI-Fórmula Área de Cobertura máxima por Sprinkler-RGSCIE.png">
          <a:extLst>
            <a:ext uri="{FF2B5EF4-FFF2-40B4-BE49-F238E27FC236}">
              <a16:creationId xmlns:a16="http://schemas.microsoft.com/office/drawing/2014/main" id="{00000000-0008-0000-0900-0000C0B1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8900" y="3562350"/>
          <a:ext cx="952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57150</xdr:colOff>
      <xdr:row>53</xdr:row>
      <xdr:rowOff>19050</xdr:rowOff>
    </xdr:from>
    <xdr:to>
      <xdr:col>10</xdr:col>
      <xdr:colOff>190500</xdr:colOff>
      <xdr:row>53</xdr:row>
      <xdr:rowOff>190500</xdr:rowOff>
    </xdr:to>
    <xdr:sp macro="" textlink="">
      <xdr:nvSpPr>
        <xdr:cNvPr id="6730177" name="AutoShape 48">
          <a:extLst>
            <a:ext uri="{FF2B5EF4-FFF2-40B4-BE49-F238E27FC236}">
              <a16:creationId xmlns:a16="http://schemas.microsoft.com/office/drawing/2014/main" id="{00000000-0008-0000-0900-0000C1B16600}"/>
            </a:ext>
          </a:extLst>
        </xdr:cNvPr>
        <xdr:cNvSpPr>
          <a:spLocks noChangeArrowheads="1"/>
        </xdr:cNvSpPr>
      </xdr:nvSpPr>
      <xdr:spPr bwMode="auto">
        <a:xfrm>
          <a:off x="7743825" y="10696575"/>
          <a:ext cx="1428750" cy="171450"/>
        </a:xfrm>
        <a:prstGeom prst="rightArrow">
          <a:avLst>
            <a:gd name="adj1" fmla="val 47824"/>
            <a:gd name="adj2" fmla="val 87461"/>
          </a:avLst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28575</xdr:colOff>
      <xdr:row>53</xdr:row>
      <xdr:rowOff>28575</xdr:rowOff>
    </xdr:from>
    <xdr:to>
      <xdr:col>12</xdr:col>
      <xdr:colOff>295275</xdr:colOff>
      <xdr:row>53</xdr:row>
      <xdr:rowOff>209550</xdr:rowOff>
    </xdr:to>
    <xdr:sp macro="" textlink="">
      <xdr:nvSpPr>
        <xdr:cNvPr id="53" name="Text Box 97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SpPr txBox="1">
          <a:spLocks noChangeArrowheads="1"/>
        </xdr:cNvSpPr>
      </xdr:nvSpPr>
      <xdr:spPr bwMode="auto">
        <a:xfrm>
          <a:off x="10591800" y="10772775"/>
          <a:ext cx="2667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PT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ou </a:t>
          </a:r>
        </a:p>
      </xdr:txBody>
    </xdr:sp>
    <xdr:clientData/>
  </xdr:twoCellAnchor>
  <xdr:twoCellAnchor>
    <xdr:from>
      <xdr:col>10</xdr:col>
      <xdr:colOff>247650</xdr:colOff>
      <xdr:row>53</xdr:row>
      <xdr:rowOff>19050</xdr:rowOff>
    </xdr:from>
    <xdr:to>
      <xdr:col>12</xdr:col>
      <xdr:colOff>95250</xdr:colOff>
      <xdr:row>53</xdr:row>
      <xdr:rowOff>209550</xdr:rowOff>
    </xdr:to>
    <xdr:sp macro="" textlink="">
      <xdr:nvSpPr>
        <xdr:cNvPr id="54" name="Text Box 98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SpPr txBox="1">
          <a:spLocks noChangeArrowheads="1"/>
        </xdr:cNvSpPr>
      </xdr:nvSpPr>
      <xdr:spPr bwMode="auto">
        <a:xfrm>
          <a:off x="9182100" y="10763250"/>
          <a:ext cx="14763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PT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Fórmula de Hazen &amp; Williams</a:t>
          </a:r>
        </a:p>
      </xdr:txBody>
    </xdr:sp>
    <xdr:clientData/>
  </xdr:twoCellAnchor>
  <xdr:twoCellAnchor>
    <xdr:from>
      <xdr:col>12</xdr:col>
      <xdr:colOff>257175</xdr:colOff>
      <xdr:row>53</xdr:row>
      <xdr:rowOff>19050</xdr:rowOff>
    </xdr:from>
    <xdr:to>
      <xdr:col>13</xdr:col>
      <xdr:colOff>752475</xdr:colOff>
      <xdr:row>53</xdr:row>
      <xdr:rowOff>209550</xdr:rowOff>
    </xdr:to>
    <xdr:sp macro="" textlink="">
      <xdr:nvSpPr>
        <xdr:cNvPr id="55" name="Text Box 96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SpPr txBox="1">
          <a:spLocks noChangeArrowheads="1"/>
        </xdr:cNvSpPr>
      </xdr:nvSpPr>
      <xdr:spPr bwMode="auto">
        <a:xfrm>
          <a:off x="10820400" y="10763250"/>
          <a:ext cx="971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pt-PT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Fórmula de Flamant</a:t>
          </a:r>
        </a:p>
      </xdr:txBody>
    </xdr:sp>
    <xdr:clientData/>
  </xdr:twoCellAnchor>
  <xdr:twoCellAnchor editAs="oneCell">
    <xdr:from>
      <xdr:col>8</xdr:col>
      <xdr:colOff>85725</xdr:colOff>
      <xdr:row>54</xdr:row>
      <xdr:rowOff>238125</xdr:rowOff>
    </xdr:from>
    <xdr:to>
      <xdr:col>9</xdr:col>
      <xdr:colOff>571500</xdr:colOff>
      <xdr:row>55</xdr:row>
      <xdr:rowOff>247651</xdr:rowOff>
    </xdr:to>
    <xdr:pic>
      <xdr:nvPicPr>
        <xdr:cNvPr id="6730181" name="Imagem 57" descr="RI-Fórmula Pressão Inicial de um troço com sprinkler.png">
          <a:extLst>
            <a:ext uri="{FF2B5EF4-FFF2-40B4-BE49-F238E27FC236}">
              <a16:creationId xmlns:a16="http://schemas.microsoft.com/office/drawing/2014/main" id="{00000000-0008-0000-0900-0000C5B1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11144250"/>
          <a:ext cx="10953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66676</xdr:colOff>
      <xdr:row>77</xdr:row>
      <xdr:rowOff>76201</xdr:rowOff>
    </xdr:from>
    <xdr:to>
      <xdr:col>12</xdr:col>
      <xdr:colOff>296883</xdr:colOff>
      <xdr:row>77</xdr:row>
      <xdr:rowOff>352630</xdr:rowOff>
    </xdr:to>
    <xdr:pic>
      <xdr:nvPicPr>
        <xdr:cNvPr id="6730182" name="Imagem 58" descr="RI-Fórmula Perda de Carda Acumulada nos Ramais Principais.png">
          <a:extLst>
            <a:ext uri="{FF2B5EF4-FFF2-40B4-BE49-F238E27FC236}">
              <a16:creationId xmlns:a16="http://schemas.microsoft.com/office/drawing/2014/main" id="{00000000-0008-0000-0900-0000C6B1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1066" y="17562616"/>
          <a:ext cx="3327687" cy="276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67</xdr:row>
      <xdr:rowOff>19050</xdr:rowOff>
    </xdr:from>
    <xdr:to>
      <xdr:col>11</xdr:col>
      <xdr:colOff>409575</xdr:colOff>
      <xdr:row>67</xdr:row>
      <xdr:rowOff>266700</xdr:rowOff>
    </xdr:to>
    <xdr:pic>
      <xdr:nvPicPr>
        <xdr:cNvPr id="6730183" name="Imagem 58" descr="RI-Fórmula da constante do sub-ramal.png">
          <a:extLst>
            <a:ext uri="{FF2B5EF4-FFF2-40B4-BE49-F238E27FC236}">
              <a16:creationId xmlns:a16="http://schemas.microsoft.com/office/drawing/2014/main" id="{00000000-0008-0000-0900-0000C7B1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15459075"/>
          <a:ext cx="23431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68</xdr:row>
      <xdr:rowOff>19050</xdr:rowOff>
    </xdr:from>
    <xdr:to>
      <xdr:col>9</xdr:col>
      <xdr:colOff>485775</xdr:colOff>
      <xdr:row>69</xdr:row>
      <xdr:rowOff>28574</xdr:rowOff>
    </xdr:to>
    <xdr:pic>
      <xdr:nvPicPr>
        <xdr:cNvPr id="6730186" name="Imagem 63" descr="RI-Fórmula Caudal de serviço do Sprinkler.png">
          <a:extLst>
            <a:ext uri="{FF2B5EF4-FFF2-40B4-BE49-F238E27FC236}">
              <a16:creationId xmlns:a16="http://schemas.microsoft.com/office/drawing/2014/main" id="{00000000-0008-0000-0900-0000CAB1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15735300"/>
          <a:ext cx="10096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70</xdr:row>
      <xdr:rowOff>76200</xdr:rowOff>
    </xdr:from>
    <xdr:to>
      <xdr:col>10</xdr:col>
      <xdr:colOff>504825</xdr:colOff>
      <xdr:row>71</xdr:row>
      <xdr:rowOff>66675</xdr:rowOff>
    </xdr:to>
    <xdr:pic>
      <xdr:nvPicPr>
        <xdr:cNvPr id="6730187" name="Imagem 64" descr="RI-Fórmula Caudal de serviço do Sub-Ramal 1.png">
          <a:extLst>
            <a:ext uri="{FF2B5EF4-FFF2-40B4-BE49-F238E27FC236}">
              <a16:creationId xmlns:a16="http://schemas.microsoft.com/office/drawing/2014/main" id="{00000000-0008-0000-0900-0000CBB1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16297275"/>
          <a:ext cx="17240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69</xdr:row>
      <xdr:rowOff>57150</xdr:rowOff>
    </xdr:from>
    <xdr:to>
      <xdr:col>10</xdr:col>
      <xdr:colOff>514350</xdr:colOff>
      <xdr:row>70</xdr:row>
      <xdr:rowOff>28576</xdr:rowOff>
    </xdr:to>
    <xdr:pic>
      <xdr:nvPicPr>
        <xdr:cNvPr id="6730188" name="Imagem 65" descr="RI-Fórmula Caudal de serviço do Sub-Ramal.png">
          <a:extLst>
            <a:ext uri="{FF2B5EF4-FFF2-40B4-BE49-F238E27FC236}">
              <a16:creationId xmlns:a16="http://schemas.microsoft.com/office/drawing/2014/main" id="{00000000-0008-0000-0900-0000CCB1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16002000"/>
          <a:ext cx="17240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304800</xdr:colOff>
      <xdr:row>73</xdr:row>
      <xdr:rowOff>180975</xdr:rowOff>
    </xdr:from>
    <xdr:to>
      <xdr:col>11</xdr:col>
      <xdr:colOff>809625</xdr:colOff>
      <xdr:row>75</xdr:row>
      <xdr:rowOff>171449</xdr:rowOff>
    </xdr:to>
    <xdr:pic>
      <xdr:nvPicPr>
        <xdr:cNvPr id="6730189" name="Imagem 38" descr="RI-Fórmula Hazen&amp;Williams em kPa por m e caudal em l por min.png">
          <a:extLst>
            <a:ext uri="{FF2B5EF4-FFF2-40B4-BE49-F238E27FC236}">
              <a16:creationId xmlns:a16="http://schemas.microsoft.com/office/drawing/2014/main" id="{00000000-0008-0000-0900-0000CDB1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17116425"/>
          <a:ext cx="12382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276225</xdr:colOff>
      <xdr:row>73</xdr:row>
      <xdr:rowOff>180975</xdr:rowOff>
    </xdr:from>
    <xdr:to>
      <xdr:col>13</xdr:col>
      <xdr:colOff>895350</xdr:colOff>
      <xdr:row>75</xdr:row>
      <xdr:rowOff>161924</xdr:rowOff>
    </xdr:to>
    <xdr:pic>
      <xdr:nvPicPr>
        <xdr:cNvPr id="6730190" name="Imagem 39" descr="RI-Fórmula Flamant em KPa por m.png">
          <a:extLst>
            <a:ext uri="{FF2B5EF4-FFF2-40B4-BE49-F238E27FC236}">
              <a16:creationId xmlns:a16="http://schemas.microsoft.com/office/drawing/2014/main" id="{00000000-0008-0000-0900-0000CEB1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7116425"/>
          <a:ext cx="10953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295275</xdr:colOff>
      <xdr:row>53</xdr:row>
      <xdr:rowOff>219075</xdr:rowOff>
    </xdr:from>
    <xdr:to>
      <xdr:col>11</xdr:col>
      <xdr:colOff>800100</xdr:colOff>
      <xdr:row>55</xdr:row>
      <xdr:rowOff>209550</xdr:rowOff>
    </xdr:to>
    <xdr:pic>
      <xdr:nvPicPr>
        <xdr:cNvPr id="6730192" name="Imagem 38" descr="RI-Fórmula Hazen&amp;Williams em kPa por m e caudal em l por min.png">
          <a:extLst>
            <a:ext uri="{FF2B5EF4-FFF2-40B4-BE49-F238E27FC236}">
              <a16:creationId xmlns:a16="http://schemas.microsoft.com/office/drawing/2014/main" id="{00000000-0008-0000-0900-0000D0B1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10896600"/>
          <a:ext cx="12382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266700</xdr:colOff>
      <xdr:row>53</xdr:row>
      <xdr:rowOff>219075</xdr:rowOff>
    </xdr:from>
    <xdr:to>
      <xdr:col>13</xdr:col>
      <xdr:colOff>885825</xdr:colOff>
      <xdr:row>55</xdr:row>
      <xdr:rowOff>200025</xdr:rowOff>
    </xdr:to>
    <xdr:pic>
      <xdr:nvPicPr>
        <xdr:cNvPr id="6730193" name="Imagem 39" descr="RI-Fórmula Flamant em KPa por m.png">
          <a:extLst>
            <a:ext uri="{FF2B5EF4-FFF2-40B4-BE49-F238E27FC236}">
              <a16:creationId xmlns:a16="http://schemas.microsoft.com/office/drawing/2014/main" id="{00000000-0008-0000-0900-0000D1B1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7550" y="10896600"/>
          <a:ext cx="10953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53</xdr:row>
      <xdr:rowOff>190500</xdr:rowOff>
    </xdr:from>
    <xdr:to>
      <xdr:col>9</xdr:col>
      <xdr:colOff>142875</xdr:colOff>
      <xdr:row>54</xdr:row>
      <xdr:rowOff>209549</xdr:rowOff>
    </xdr:to>
    <xdr:pic>
      <xdr:nvPicPr>
        <xdr:cNvPr id="6730194" name="Imagem 41" descr="RI-Fórmula Perda de Carda Dinâmica no Troço-Final.png">
          <a:extLst>
            <a:ext uri="{FF2B5EF4-FFF2-40B4-BE49-F238E27FC236}">
              <a16:creationId xmlns:a16="http://schemas.microsoft.com/office/drawing/2014/main" id="{00000000-0008-0000-0900-0000D2B1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10868025"/>
          <a:ext cx="666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84</xdr:row>
      <xdr:rowOff>9525</xdr:rowOff>
    </xdr:from>
    <xdr:to>
      <xdr:col>11</xdr:col>
      <xdr:colOff>323850</xdr:colOff>
      <xdr:row>84</xdr:row>
      <xdr:rowOff>276225</xdr:rowOff>
    </xdr:to>
    <xdr:pic>
      <xdr:nvPicPr>
        <xdr:cNvPr id="6730196" name="Imagem 69" descr="RI-Fórmula da Potência.png">
          <a:extLst>
            <a:ext uri="{FF2B5EF4-FFF2-40B4-BE49-F238E27FC236}">
              <a16:creationId xmlns:a16="http://schemas.microsoft.com/office/drawing/2014/main" id="{00000000-0008-0000-0900-0000D4B1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19726275"/>
          <a:ext cx="22764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57150</xdr:colOff>
      <xdr:row>1</xdr:row>
      <xdr:rowOff>85725</xdr:rowOff>
    </xdr:from>
    <xdr:to>
      <xdr:col>11</xdr:col>
      <xdr:colOff>76200</xdr:colOff>
      <xdr:row>10</xdr:row>
      <xdr:rowOff>9525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7573241" y="125310"/>
          <a:ext cx="2809751" cy="1269670"/>
          <a:chOff x="7143750" y="171450"/>
          <a:chExt cx="2647950" cy="1285875"/>
        </a:xfrm>
      </xdr:grpSpPr>
      <xdr:sp macro="" textlink="">
        <xdr:nvSpPr>
          <xdr:cNvPr id="20" name="Text Box 86"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334250" y="409575"/>
            <a:ext cx="1666875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Tubos de Aço </a:t>
            </a:r>
          </a:p>
          <a:p>
            <a:pPr algn="l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NP EN 10255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- Série Média</a:t>
            </a:r>
          </a:p>
        </xdr:txBody>
      </xdr:sp>
      <xdr:sp macro="" textlink="">
        <xdr:nvSpPr>
          <xdr:cNvPr id="21" name="Text Box 87"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334250" y="809625"/>
            <a:ext cx="1609725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Acessórios Roscados</a:t>
            </a:r>
          </a:p>
          <a:p>
            <a:pPr algn="l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NP EN 10242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- Proj. A</a:t>
            </a:r>
          </a:p>
        </xdr:txBody>
      </xdr:sp>
      <xdr:sp macro="" textlink="">
        <xdr:nvSpPr>
          <xdr:cNvPr id="22" name="Text Box 88"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143750" y="171450"/>
            <a:ext cx="26479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7432" rIns="0" bIns="0" anchor="t" upright="1"/>
          <a:lstStyle/>
          <a:p>
            <a:pPr algn="l" rtl="0">
              <a:defRPr sz="1000"/>
            </a:pPr>
            <a:r>
              <a:rPr lang="pt-PT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Sustentada no sistema de tubagem</a:t>
            </a:r>
          </a:p>
        </xdr:txBody>
      </xdr:sp>
      <xdr:sp macro="" textlink="">
        <xdr:nvSpPr>
          <xdr:cNvPr id="24" name="Text Box 101"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334250" y="1228725"/>
            <a:ext cx="2124075" cy="228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Ligação Roscada NP EN 10226-1</a:t>
            </a:r>
          </a:p>
        </xdr:txBody>
      </xdr:sp>
    </xdr:grpSp>
    <xdr:clientData/>
  </xdr:twoCellAnchor>
  <xdr:twoCellAnchor editAs="oneCell">
    <xdr:from>
      <xdr:col>9</xdr:col>
      <xdr:colOff>444500</xdr:colOff>
      <xdr:row>4</xdr:row>
      <xdr:rowOff>111126</xdr:rowOff>
    </xdr:from>
    <xdr:to>
      <xdr:col>11</xdr:col>
      <xdr:colOff>284913</xdr:colOff>
      <xdr:row>7</xdr:row>
      <xdr:rowOff>28575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7125" y="738189"/>
          <a:ext cx="1253288" cy="357187"/>
        </a:xfrm>
        <a:prstGeom prst="rect">
          <a:avLst/>
        </a:prstGeom>
      </xdr:spPr>
    </xdr:pic>
    <xdr:clientData/>
  </xdr:twoCellAnchor>
  <xdr:twoCellAnchor>
    <xdr:from>
      <xdr:col>1</xdr:col>
      <xdr:colOff>27213</xdr:colOff>
      <xdr:row>1</xdr:row>
      <xdr:rowOff>22677</xdr:rowOff>
    </xdr:from>
    <xdr:to>
      <xdr:col>6</xdr:col>
      <xdr:colOff>779318</xdr:colOff>
      <xdr:row>2</xdr:row>
      <xdr:rowOff>108084</xdr:rowOff>
    </xdr:to>
    <xdr:sp macro="" textlink="">
      <xdr:nvSpPr>
        <xdr:cNvPr id="57" name="Retângulo: Cantos Arredondados 56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SpPr/>
      </xdr:nvSpPr>
      <xdr:spPr bwMode="auto">
        <a:xfrm>
          <a:off x="131122" y="57313"/>
          <a:ext cx="6934696" cy="275907"/>
        </a:xfrm>
        <a:prstGeom prst="roundRect">
          <a:avLst/>
        </a:prstGeom>
        <a:gradFill flip="none" rotWithShape="1">
          <a:gsLst>
            <a:gs pos="0">
              <a:schemeClr val="accent2">
                <a:lumMod val="50000"/>
              </a:schemeClr>
            </a:gs>
            <a:gs pos="12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5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pt-PT" sz="14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Dimensionamento de Sistema de Extinção Automática </a:t>
          </a:r>
          <a:r>
            <a:rPr lang="pt-PT" sz="12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(Rede de Sprinklers Tipo Húmida)</a:t>
          </a:r>
          <a:endParaRPr lang="pt-PT" sz="120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76199</xdr:colOff>
      <xdr:row>76</xdr:row>
      <xdr:rowOff>28574</xdr:rowOff>
    </xdr:from>
    <xdr:to>
      <xdr:col>11</xdr:col>
      <xdr:colOff>493005</xdr:colOff>
      <xdr:row>76</xdr:row>
      <xdr:rowOff>267336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4849" y="17259299"/>
          <a:ext cx="2607556" cy="238762"/>
        </a:xfrm>
        <a:prstGeom prst="rect">
          <a:avLst/>
        </a:prstGeom>
      </xdr:spPr>
    </xdr:pic>
    <xdr:clientData/>
  </xdr:twoCellAnchor>
  <xdr:twoCellAnchor editAs="oneCell">
    <xdr:from>
      <xdr:col>8</xdr:col>
      <xdr:colOff>85724</xdr:colOff>
      <xdr:row>74</xdr:row>
      <xdr:rowOff>19050</xdr:rowOff>
    </xdr:from>
    <xdr:to>
      <xdr:col>9</xdr:col>
      <xdr:colOff>486058</xdr:colOff>
      <xdr:row>74</xdr:row>
      <xdr:rowOff>256650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74" y="16697325"/>
          <a:ext cx="1057559" cy="237600"/>
        </a:xfrm>
        <a:prstGeom prst="rect">
          <a:avLst/>
        </a:prstGeom>
      </xdr:spPr>
    </xdr:pic>
    <xdr:clientData/>
  </xdr:twoCellAnchor>
  <xdr:twoCellAnchor editAs="oneCell">
    <xdr:from>
      <xdr:col>8</xdr:col>
      <xdr:colOff>57151</xdr:colOff>
      <xdr:row>61</xdr:row>
      <xdr:rowOff>238124</xdr:rowOff>
    </xdr:from>
    <xdr:to>
      <xdr:col>10</xdr:col>
      <xdr:colOff>639920</xdr:colOff>
      <xdr:row>62</xdr:row>
      <xdr:rowOff>67424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801" y="13039724"/>
          <a:ext cx="1982944" cy="24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61</xdr:row>
      <xdr:rowOff>266700</xdr:rowOff>
    </xdr:from>
    <xdr:to>
      <xdr:col>13</xdr:col>
      <xdr:colOff>887681</xdr:colOff>
      <xdr:row>62</xdr:row>
      <xdr:rowOff>56400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0975" y="13068300"/>
          <a:ext cx="1192481" cy="208800"/>
        </a:xfrm>
        <a:prstGeom prst="rect">
          <a:avLst/>
        </a:prstGeom>
      </xdr:spPr>
    </xdr:pic>
    <xdr:clientData/>
  </xdr:twoCellAnchor>
  <xdr:twoCellAnchor editAs="oneCell">
    <xdr:from>
      <xdr:col>8</xdr:col>
      <xdr:colOff>76199</xdr:colOff>
      <xdr:row>75</xdr:row>
      <xdr:rowOff>28575</xdr:rowOff>
    </xdr:from>
    <xdr:to>
      <xdr:col>9</xdr:col>
      <xdr:colOff>581073</xdr:colOff>
      <xdr:row>75</xdr:row>
      <xdr:rowOff>237375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id="{00000000-0008-0000-09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4849" y="16992600"/>
          <a:ext cx="1162099" cy="208800"/>
        </a:xfrm>
        <a:prstGeom prst="rect">
          <a:avLst/>
        </a:prstGeom>
      </xdr:spPr>
    </xdr:pic>
    <xdr:clientData/>
  </xdr:twoCellAnchor>
  <xdr:twoCellAnchor editAs="oneCell">
    <xdr:from>
      <xdr:col>10</xdr:col>
      <xdr:colOff>771524</xdr:colOff>
      <xdr:row>61</xdr:row>
      <xdr:rowOff>247650</xdr:rowOff>
    </xdr:from>
    <xdr:to>
      <xdr:col>12</xdr:col>
      <xdr:colOff>76483</xdr:colOff>
      <xdr:row>62</xdr:row>
      <xdr:rowOff>66150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id="{00000000-0008-0000-09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49" y="13049250"/>
          <a:ext cx="1057559" cy="237600"/>
        </a:xfrm>
        <a:prstGeom prst="rect">
          <a:avLst/>
        </a:prstGeom>
      </xdr:spPr>
    </xdr:pic>
    <xdr:clientData/>
  </xdr:twoCellAnchor>
  <xdr:twoCellAnchor>
    <xdr:from>
      <xdr:col>11</xdr:col>
      <xdr:colOff>734783</xdr:colOff>
      <xdr:row>1</xdr:row>
      <xdr:rowOff>125186</xdr:rowOff>
    </xdr:from>
    <xdr:to>
      <xdr:col>13</xdr:col>
      <xdr:colOff>925284</xdr:colOff>
      <xdr:row>5</xdr:row>
      <xdr:rowOff>128316</xdr:rowOff>
    </xdr:to>
    <xdr:grpSp>
      <xdr:nvGrpSpPr>
        <xdr:cNvPr id="58" name="Agrupar 57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GrpSpPr/>
      </xdr:nvGrpSpPr>
      <xdr:grpSpPr>
        <a:xfrm>
          <a:off x="11041575" y="164771"/>
          <a:ext cx="1640281" cy="799766"/>
          <a:chOff x="15838809" y="11053948"/>
          <a:chExt cx="1730599" cy="881920"/>
        </a:xfrm>
      </xdr:grpSpPr>
      <xdr:pic>
        <xdr:nvPicPr>
          <xdr:cNvPr id="59" name="Picture 5501" descr="Resize of logoapta">
            <a:extLst>
              <a:ext uri="{FF2B5EF4-FFF2-40B4-BE49-F238E27FC236}">
                <a16:creationId xmlns:a16="http://schemas.microsoft.com/office/drawing/2014/main" id="{00000000-0008-0000-0900-00003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lum contras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375413" y="11053948"/>
            <a:ext cx="1133453" cy="6659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0" name="Text Box 5512">
            <a:extLst>
              <a:ext uri="{FF2B5EF4-FFF2-40B4-BE49-F238E27FC236}">
                <a16:creationId xmlns:a16="http://schemas.microsoft.com/office/drawing/2014/main" id="{00000000-0008-0000-0900-00003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6146899" y="11765940"/>
            <a:ext cx="1422509" cy="1583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pt-PT" sz="8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Autor: </a:t>
            </a:r>
            <a:r>
              <a:rPr lang="pt-PT" sz="8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Paulo Gomes</a:t>
            </a:r>
            <a:r>
              <a:rPr lang="pt-PT" sz="7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,</a:t>
            </a:r>
            <a:r>
              <a:rPr lang="pt-PT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 </a:t>
            </a:r>
            <a:r>
              <a:rPr lang="pt-PT" sz="7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Engº</a:t>
            </a:r>
          </a:p>
        </xdr:txBody>
      </xdr:sp>
      <xdr:sp macro="" textlink="">
        <xdr:nvSpPr>
          <xdr:cNvPr id="61" name="Text Box 5515">
            <a:hlinkClick xmlns:r="http://schemas.openxmlformats.org/officeDocument/2006/relationships" r:id="rId26"/>
            <a:extLst>
              <a:ext uri="{FF2B5EF4-FFF2-40B4-BE49-F238E27FC236}">
                <a16:creationId xmlns:a16="http://schemas.microsoft.com/office/drawing/2014/main" id="{00000000-0008-0000-0900-00003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44947" y="11430224"/>
            <a:ext cx="818260" cy="1976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info@apta.pt</a:t>
            </a:r>
          </a:p>
        </xdr:txBody>
      </xdr:sp>
      <xdr:sp macro="" textlink="">
        <xdr:nvSpPr>
          <xdr:cNvPr id="62" name="Text Box 5510">
            <a:extLst>
              <a:ext uri="{FF2B5EF4-FFF2-40B4-BE49-F238E27FC236}">
                <a16:creationId xmlns:a16="http://schemas.microsoft.com/office/drawing/2014/main" id="{00000000-0008-0000-0900-00003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922558" y="11741615"/>
            <a:ext cx="335959" cy="1942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36576" tIns="22860" rIns="36576" bIns="22860" anchor="ctr" upright="1"/>
          <a:lstStyle/>
          <a:p>
            <a:pPr algn="ctr" rtl="0">
              <a:defRPr sz="1000"/>
            </a:pPr>
            <a:r>
              <a:rPr lang="pt-PT" sz="12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®</a:t>
            </a:r>
          </a:p>
        </xdr:txBody>
      </xdr:sp>
      <xdr:sp macro="" textlink="">
        <xdr:nvSpPr>
          <xdr:cNvPr id="63" name="Text Box 5515">
            <a:hlinkClick xmlns:r="http://schemas.openxmlformats.org/officeDocument/2006/relationships" r:id="rId27"/>
            <a:extLst>
              <a:ext uri="{FF2B5EF4-FFF2-40B4-BE49-F238E27FC236}">
                <a16:creationId xmlns:a16="http://schemas.microsoft.com/office/drawing/2014/main" id="{00000000-0008-0000-0900-00003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38809" y="11603181"/>
            <a:ext cx="818904" cy="1656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www.apta.pt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1</xdr:row>
      <xdr:rowOff>123825</xdr:rowOff>
    </xdr:from>
    <xdr:to>
      <xdr:col>9</xdr:col>
      <xdr:colOff>771525</xdr:colOff>
      <xdr:row>17</xdr:row>
      <xdr:rowOff>104775</xdr:rowOff>
    </xdr:to>
    <xdr:grpSp>
      <xdr:nvGrpSpPr>
        <xdr:cNvPr id="6731473" name="Group 137">
          <a:extLst>
            <a:ext uri="{FF2B5EF4-FFF2-40B4-BE49-F238E27FC236}">
              <a16:creationId xmlns:a16="http://schemas.microsoft.com/office/drawing/2014/main" id="{00000000-0008-0000-0A00-0000D1B66600}"/>
            </a:ext>
          </a:extLst>
        </xdr:cNvPr>
        <xdr:cNvGrpSpPr>
          <a:grpSpLocks/>
        </xdr:cNvGrpSpPr>
      </xdr:nvGrpSpPr>
      <xdr:grpSpPr bwMode="auto">
        <a:xfrm>
          <a:off x="381000" y="673059"/>
          <a:ext cx="7253473" cy="2514352"/>
          <a:chOff x="40" y="30"/>
          <a:chExt cx="719" cy="270"/>
        </a:xfrm>
      </xdr:grpSpPr>
      <xdr:sp macro="" textlink="">
        <xdr:nvSpPr>
          <xdr:cNvPr id="3" name="Text Box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0" y="30"/>
            <a:ext cx="719" cy="27"/>
          </a:xfrm>
          <a:prstGeom prst="rect">
            <a:avLst/>
          </a:prstGeom>
          <a:gradFill>
            <a:gsLst>
              <a:gs pos="0">
                <a:schemeClr val="accent2">
                  <a:lumMod val="50000"/>
                </a:schemeClr>
              </a:gs>
              <a:gs pos="100000">
                <a:schemeClr val="accent2">
                  <a:lumMod val="75000"/>
                </a:schemeClr>
              </a:gs>
            </a:gsLst>
            <a:lin ang="5400000" scaled="0"/>
          </a:gra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12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Quadro 7: Factores de conversão de unidades de Pressão</a:t>
            </a:r>
          </a:p>
        </xdr:txBody>
      </xdr:sp>
      <xdr:grpSp>
        <xdr:nvGrpSpPr>
          <xdr:cNvPr id="6731505" name="Group 3">
            <a:extLst>
              <a:ext uri="{FF2B5EF4-FFF2-40B4-BE49-F238E27FC236}">
                <a16:creationId xmlns:a16="http://schemas.microsoft.com/office/drawing/2014/main" id="{00000000-0008-0000-0A00-0000F1B66600}"/>
              </a:ext>
            </a:extLst>
          </xdr:cNvPr>
          <xdr:cNvGrpSpPr>
            <a:grpSpLocks/>
          </xdr:cNvGrpSpPr>
        </xdr:nvGrpSpPr>
        <xdr:grpSpPr bwMode="auto">
          <a:xfrm>
            <a:off x="118" y="64"/>
            <a:ext cx="641" cy="236"/>
            <a:chOff x="1389" y="1558"/>
            <a:chExt cx="594" cy="236"/>
          </a:xfrm>
        </xdr:grpSpPr>
        <xdr:grpSp>
          <xdr:nvGrpSpPr>
            <xdr:cNvPr id="6731506" name="Group 4">
              <a:extLst>
                <a:ext uri="{FF2B5EF4-FFF2-40B4-BE49-F238E27FC236}">
                  <a16:creationId xmlns:a16="http://schemas.microsoft.com/office/drawing/2014/main" id="{00000000-0008-0000-0A00-0000F2B666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432" y="1559"/>
              <a:ext cx="551" cy="235"/>
              <a:chOff x="1432" y="1559"/>
              <a:chExt cx="551" cy="235"/>
            </a:xfrm>
          </xdr:grpSpPr>
          <xdr:grpSp>
            <xdr:nvGrpSpPr>
              <xdr:cNvPr id="6731509" name="Group 5">
                <a:extLst>
                  <a:ext uri="{FF2B5EF4-FFF2-40B4-BE49-F238E27FC236}">
                    <a16:creationId xmlns:a16="http://schemas.microsoft.com/office/drawing/2014/main" id="{00000000-0008-0000-0A00-0000F5B666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509" y="1559"/>
                <a:ext cx="474" cy="56"/>
                <a:chOff x="1509" y="1559"/>
                <a:chExt cx="474" cy="56"/>
              </a:xfrm>
            </xdr:grpSpPr>
            <xdr:sp macro="" textlink="">
              <xdr:nvSpPr>
                <xdr:cNvPr id="57" name="Text Box 6">
                  <a:extLst>
                    <a:ext uri="{FF2B5EF4-FFF2-40B4-BE49-F238E27FC236}">
                      <a16:creationId xmlns:a16="http://schemas.microsoft.com/office/drawing/2014/main" id="{00000000-0008-0000-0A00-000039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09" y="1559"/>
                  <a:ext cx="474" cy="27"/>
                </a:xfrm>
                <a:prstGeom prst="rect">
                  <a:avLst/>
                </a:prstGeom>
                <a:solidFill>
                  <a:schemeClr val="bg2">
                    <a:lumMod val="5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1200" b="1" i="0" u="none" strike="noStrike" baseline="0">
                      <a:solidFill>
                        <a:schemeClr val="bg1"/>
                      </a:solidFill>
                      <a:latin typeface="Arial"/>
                      <a:cs typeface="Arial"/>
                    </a:rPr>
                    <a:t>Para:</a:t>
                  </a:r>
                </a:p>
              </xdr:txBody>
            </xdr:sp>
            <xdr:grpSp>
              <xdr:nvGrpSpPr>
                <xdr:cNvPr id="6731559" name="Group 7">
                  <a:extLst>
                    <a:ext uri="{FF2B5EF4-FFF2-40B4-BE49-F238E27FC236}">
                      <a16:creationId xmlns:a16="http://schemas.microsoft.com/office/drawing/2014/main" id="{00000000-0008-0000-0A00-000027B766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509" y="1589"/>
                  <a:ext cx="474" cy="26"/>
                  <a:chOff x="1460" y="1600"/>
                  <a:chExt cx="474" cy="26"/>
                </a:xfrm>
              </xdr:grpSpPr>
              <xdr:sp macro="" textlink="">
                <xdr:nvSpPr>
                  <xdr:cNvPr id="59" name="Text Box 8">
                    <a:extLst>
                      <a:ext uri="{FF2B5EF4-FFF2-40B4-BE49-F238E27FC236}">
                        <a16:creationId xmlns:a16="http://schemas.microsoft.com/office/drawing/2014/main" id="{00000000-0008-0000-0A00-00003B000000}"/>
                      </a:ext>
                    </a:extLst>
                  </xdr:cNvPr>
                  <xdr:cNvSpPr txBox="1">
                    <a:spLocks noChangeArrowheads="1"/>
                  </xdr:cNvSpPr>
                </xdr:nvSpPr>
                <xdr:spPr bwMode="auto">
                  <a:xfrm>
                    <a:off x="1858" y="1600"/>
                    <a:ext cx="76" cy="26"/>
                  </a:xfrm>
                  <a:prstGeom prst="rect">
                    <a:avLst/>
                  </a:prstGeom>
                  <a:solidFill>
                    <a:schemeClr val="bg2">
                      <a:lumMod val="50000"/>
                    </a:schemeClr>
                  </a:solidFill>
                  <a:ln w="9525">
                    <a:noFill/>
                    <a:miter lim="800000"/>
                    <a:headEnd/>
                    <a:tailEnd/>
                  </a:ln>
                  <a:effectLst/>
                </xdr:spPr>
                <xdr:txBody>
                  <a:bodyPr vertOverflow="clip" wrap="square" lIns="18000" tIns="18000" rIns="18000" bIns="18000" anchor="ctr" upright="1"/>
                  <a:lstStyle/>
                  <a:p>
                    <a:pPr algn="ctr" rtl="0">
                      <a:defRPr sz="1000"/>
                    </a:pPr>
                    <a:r>
                      <a:rPr lang="pt-PT" sz="1200" b="1" i="0" u="none" strike="noStrike" baseline="0">
                        <a:solidFill>
                          <a:schemeClr val="bg1"/>
                        </a:solidFill>
                        <a:latin typeface="Arial"/>
                        <a:cs typeface="Arial"/>
                      </a:rPr>
                      <a:t>psi</a:t>
                    </a:r>
                  </a:p>
                </xdr:txBody>
              </xdr:sp>
              <xdr:sp macro="" textlink="">
                <xdr:nvSpPr>
                  <xdr:cNvPr id="60" name="Text Box 9">
                    <a:extLst>
                      <a:ext uri="{FF2B5EF4-FFF2-40B4-BE49-F238E27FC236}">
                        <a16:creationId xmlns:a16="http://schemas.microsoft.com/office/drawing/2014/main" id="{00000000-0008-0000-0A00-00003C000000}"/>
                      </a:ext>
                    </a:extLst>
                  </xdr:cNvPr>
                  <xdr:cNvSpPr txBox="1">
                    <a:spLocks noChangeArrowheads="1"/>
                  </xdr:cNvSpPr>
                </xdr:nvSpPr>
                <xdr:spPr bwMode="auto">
                  <a:xfrm>
                    <a:off x="1779" y="1600"/>
                    <a:ext cx="76" cy="26"/>
                  </a:xfrm>
                  <a:prstGeom prst="rect">
                    <a:avLst/>
                  </a:prstGeom>
                  <a:solidFill>
                    <a:schemeClr val="bg2">
                      <a:lumMod val="50000"/>
                    </a:schemeClr>
                  </a:solidFill>
                  <a:ln w="9525">
                    <a:noFill/>
                    <a:miter lim="800000"/>
                    <a:headEnd/>
                    <a:tailEnd/>
                  </a:ln>
                  <a:effectLst/>
                </xdr:spPr>
                <xdr:txBody>
                  <a:bodyPr vertOverflow="clip" wrap="square" lIns="18000" tIns="18000" rIns="18000" bIns="18000" anchor="ctr" upright="1"/>
                  <a:lstStyle/>
                  <a:p>
                    <a:pPr algn="ctr" rtl="0">
                      <a:defRPr sz="1000"/>
                    </a:pPr>
                    <a:r>
                      <a:rPr lang="pt-PT" sz="1200" b="1" i="0" u="none" strike="noStrike" baseline="0">
                        <a:solidFill>
                          <a:schemeClr val="bg1"/>
                        </a:solidFill>
                        <a:latin typeface="Arial"/>
                        <a:cs typeface="Arial"/>
                      </a:rPr>
                      <a:t>atm</a:t>
                    </a:r>
                  </a:p>
                </xdr:txBody>
              </xdr:sp>
              <xdr:sp macro="" textlink="">
                <xdr:nvSpPr>
                  <xdr:cNvPr id="61" name="Text Box 10">
                    <a:extLst>
                      <a:ext uri="{FF2B5EF4-FFF2-40B4-BE49-F238E27FC236}">
                        <a16:creationId xmlns:a16="http://schemas.microsoft.com/office/drawing/2014/main" id="{00000000-0008-0000-0A00-00003D000000}"/>
                      </a:ext>
                    </a:extLst>
                  </xdr:cNvPr>
                  <xdr:cNvSpPr txBox="1">
                    <a:spLocks noChangeArrowheads="1"/>
                  </xdr:cNvSpPr>
                </xdr:nvSpPr>
                <xdr:spPr bwMode="auto">
                  <a:xfrm>
                    <a:off x="1700" y="1600"/>
                    <a:ext cx="76" cy="26"/>
                  </a:xfrm>
                  <a:prstGeom prst="rect">
                    <a:avLst/>
                  </a:prstGeom>
                  <a:solidFill>
                    <a:schemeClr val="bg2">
                      <a:lumMod val="50000"/>
                    </a:schemeClr>
                  </a:solidFill>
                  <a:ln w="9525">
                    <a:noFill/>
                    <a:miter lim="800000"/>
                    <a:headEnd/>
                    <a:tailEnd/>
                  </a:ln>
                  <a:effectLst/>
                </xdr:spPr>
                <xdr:txBody>
                  <a:bodyPr vertOverflow="clip" wrap="square" lIns="18000" tIns="18000" rIns="18000" bIns="18000" anchor="ctr" upright="1"/>
                  <a:lstStyle/>
                  <a:p>
                    <a:pPr algn="ctr" rtl="0">
                      <a:defRPr sz="1000"/>
                    </a:pPr>
                    <a:r>
                      <a:rPr lang="pt-PT" sz="1200" b="1" i="0" u="none" strike="noStrike" baseline="0">
                        <a:solidFill>
                          <a:schemeClr val="bg1"/>
                        </a:solidFill>
                        <a:latin typeface="Arial"/>
                        <a:cs typeface="Arial"/>
                      </a:rPr>
                      <a:t>m.c.a.</a:t>
                    </a:r>
                  </a:p>
                </xdr:txBody>
              </xdr:sp>
              <xdr:sp macro="" textlink="">
                <xdr:nvSpPr>
                  <xdr:cNvPr id="62" name="Text Box 11">
                    <a:extLst>
                      <a:ext uri="{FF2B5EF4-FFF2-40B4-BE49-F238E27FC236}">
                        <a16:creationId xmlns:a16="http://schemas.microsoft.com/office/drawing/2014/main" id="{00000000-0008-0000-0A00-00003E000000}"/>
                      </a:ext>
                    </a:extLst>
                  </xdr:cNvPr>
                  <xdr:cNvSpPr txBox="1">
                    <a:spLocks noChangeArrowheads="1"/>
                  </xdr:cNvSpPr>
                </xdr:nvSpPr>
                <xdr:spPr bwMode="auto">
                  <a:xfrm>
                    <a:off x="1621" y="1600"/>
                    <a:ext cx="76" cy="26"/>
                  </a:xfrm>
                  <a:prstGeom prst="rect">
                    <a:avLst/>
                  </a:prstGeom>
                  <a:solidFill>
                    <a:schemeClr val="bg2">
                      <a:lumMod val="50000"/>
                    </a:schemeClr>
                  </a:solidFill>
                  <a:ln w="9525">
                    <a:noFill/>
                    <a:miter lim="800000"/>
                    <a:headEnd/>
                    <a:tailEnd/>
                  </a:ln>
                  <a:effectLst/>
                </xdr:spPr>
                <xdr:txBody>
                  <a:bodyPr vertOverflow="clip" wrap="square" lIns="18000" tIns="18000" rIns="18000" bIns="18000" anchor="ctr" upright="1"/>
                  <a:lstStyle/>
                  <a:p>
                    <a:pPr algn="ctr" rtl="0">
                      <a:defRPr sz="1000"/>
                    </a:pPr>
                    <a:r>
                      <a:rPr lang="pt-PT" sz="1100" b="1" i="0" u="none" strike="noStrike" baseline="0">
                        <a:solidFill>
                          <a:schemeClr val="bg1"/>
                        </a:solidFill>
                        <a:latin typeface="Arial"/>
                        <a:cs typeface="Arial"/>
                      </a:rPr>
                      <a:t>kgf/cm</a:t>
                    </a:r>
                    <a:r>
                      <a:rPr lang="pt-PT" sz="1100" b="1" i="0" u="none" strike="noStrike" baseline="30000">
                        <a:solidFill>
                          <a:schemeClr val="bg1"/>
                        </a:solidFill>
                        <a:latin typeface="Arial"/>
                        <a:cs typeface="Arial"/>
                      </a:rPr>
                      <a:t>2</a:t>
                    </a:r>
                  </a:p>
                </xdr:txBody>
              </xdr:sp>
              <xdr:sp macro="" textlink="">
                <xdr:nvSpPr>
                  <xdr:cNvPr id="63" name="Text Box 12">
                    <a:extLst>
                      <a:ext uri="{FF2B5EF4-FFF2-40B4-BE49-F238E27FC236}">
                        <a16:creationId xmlns:a16="http://schemas.microsoft.com/office/drawing/2014/main" id="{00000000-0008-0000-0A00-00003F000000}"/>
                      </a:ext>
                    </a:extLst>
                  </xdr:cNvPr>
                  <xdr:cNvSpPr txBox="1">
                    <a:spLocks noChangeArrowheads="1"/>
                  </xdr:cNvSpPr>
                </xdr:nvSpPr>
                <xdr:spPr bwMode="auto">
                  <a:xfrm>
                    <a:off x="1536" y="1600"/>
                    <a:ext cx="82" cy="26"/>
                  </a:xfrm>
                  <a:prstGeom prst="rect">
                    <a:avLst/>
                  </a:prstGeom>
                  <a:solidFill>
                    <a:schemeClr val="bg2">
                      <a:lumMod val="50000"/>
                    </a:schemeClr>
                  </a:solidFill>
                  <a:ln w="9525">
                    <a:noFill/>
                    <a:miter lim="800000"/>
                    <a:headEnd/>
                    <a:tailEnd/>
                  </a:ln>
                  <a:effectLst/>
                </xdr:spPr>
                <xdr:txBody>
                  <a:bodyPr vertOverflow="clip" wrap="square" lIns="18000" tIns="18000" rIns="18000" bIns="18000" anchor="ctr" upright="1"/>
                  <a:lstStyle/>
                  <a:p>
                    <a:pPr algn="ctr" rtl="0">
                      <a:defRPr sz="1000"/>
                    </a:pPr>
                    <a:r>
                      <a:rPr lang="pt-PT" sz="1200" b="1" i="0" u="none" strike="noStrike" baseline="0">
                        <a:solidFill>
                          <a:schemeClr val="bg1"/>
                        </a:solidFill>
                        <a:latin typeface="Arial"/>
                        <a:cs typeface="Arial"/>
                      </a:rPr>
                      <a:t>bar</a:t>
                    </a:r>
                  </a:p>
                </xdr:txBody>
              </xdr:sp>
              <xdr:sp macro="" textlink="">
                <xdr:nvSpPr>
                  <xdr:cNvPr id="64" name="Text Box 13">
                    <a:extLst>
                      <a:ext uri="{FF2B5EF4-FFF2-40B4-BE49-F238E27FC236}">
                        <a16:creationId xmlns:a16="http://schemas.microsoft.com/office/drawing/2014/main" id="{00000000-0008-0000-0A00-000040000000}"/>
                      </a:ext>
                    </a:extLst>
                  </xdr:cNvPr>
                  <xdr:cNvSpPr txBox="1">
                    <a:spLocks noChangeArrowheads="1"/>
                  </xdr:cNvSpPr>
                </xdr:nvSpPr>
                <xdr:spPr bwMode="auto">
                  <a:xfrm>
                    <a:off x="1460" y="1600"/>
                    <a:ext cx="76" cy="26"/>
                  </a:xfrm>
                  <a:prstGeom prst="rect">
                    <a:avLst/>
                  </a:prstGeom>
                  <a:solidFill>
                    <a:schemeClr val="bg2">
                      <a:lumMod val="50000"/>
                    </a:schemeClr>
                  </a:solidFill>
                  <a:ln w="9525">
                    <a:noFill/>
                    <a:miter lim="800000"/>
                    <a:headEnd/>
                    <a:tailEnd/>
                  </a:ln>
                  <a:effectLst/>
                </xdr:spPr>
                <xdr:txBody>
                  <a:bodyPr vertOverflow="clip" wrap="square" lIns="18000" tIns="18000" rIns="18000" bIns="18000" anchor="ctr" upright="1"/>
                  <a:lstStyle/>
                  <a:p>
                    <a:pPr algn="ctr" rtl="0">
                      <a:defRPr sz="1000"/>
                    </a:pPr>
                    <a:r>
                      <a:rPr lang="pt-PT" sz="1200" b="1" i="0" u="none" strike="noStrike" baseline="0">
                        <a:solidFill>
                          <a:schemeClr val="bg1"/>
                        </a:solidFill>
                        <a:latin typeface="Arial"/>
                        <a:cs typeface="Arial"/>
                      </a:rPr>
                      <a:t>kPa</a:t>
                    </a:r>
                  </a:p>
                </xdr:txBody>
              </xdr:sp>
            </xdr:grpSp>
          </xdr:grpSp>
          <xdr:grpSp>
            <xdr:nvGrpSpPr>
              <xdr:cNvPr id="6731510" name="Group 14">
                <a:extLst>
                  <a:ext uri="{FF2B5EF4-FFF2-40B4-BE49-F238E27FC236}">
                    <a16:creationId xmlns:a16="http://schemas.microsoft.com/office/drawing/2014/main" id="{00000000-0008-0000-0A00-0000F6B666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32" y="1619"/>
                <a:ext cx="551" cy="27"/>
                <a:chOff x="1432" y="1619"/>
                <a:chExt cx="551" cy="27"/>
              </a:xfrm>
            </xdr:grpSpPr>
            <xdr:sp macro="" textlink="">
              <xdr:nvSpPr>
                <xdr:cNvPr id="50" name="Text Box 15">
                  <a:extLst>
                    <a:ext uri="{FF2B5EF4-FFF2-40B4-BE49-F238E27FC236}">
                      <a16:creationId xmlns:a16="http://schemas.microsoft.com/office/drawing/2014/main" id="{00000000-0008-0000-0A00-000032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907" y="161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0,145</a:t>
                  </a:r>
                </a:p>
              </xdr:txBody>
            </xdr:sp>
            <xdr:sp macro="" textlink="">
              <xdr:nvSpPr>
                <xdr:cNvPr id="51" name="Text Box 16">
                  <a:extLst>
                    <a:ext uri="{FF2B5EF4-FFF2-40B4-BE49-F238E27FC236}">
                      <a16:creationId xmlns:a16="http://schemas.microsoft.com/office/drawing/2014/main" id="{00000000-0008-0000-0A00-000033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828" y="161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0,0987</a:t>
                  </a:r>
                </a:p>
              </xdr:txBody>
            </xdr:sp>
            <xdr:sp macro="" textlink="">
              <xdr:nvSpPr>
                <xdr:cNvPr id="52" name="Text Box 17">
                  <a:extLst>
                    <a:ext uri="{FF2B5EF4-FFF2-40B4-BE49-F238E27FC236}">
                      <a16:creationId xmlns:a16="http://schemas.microsoft.com/office/drawing/2014/main" id="{00000000-0008-0000-0A00-000034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749" y="161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0,102</a:t>
                  </a:r>
                </a:p>
              </xdr:txBody>
            </xdr:sp>
            <xdr:sp macro="" textlink="">
              <xdr:nvSpPr>
                <xdr:cNvPr id="53" name="Text Box 18">
                  <a:extLst>
                    <a:ext uri="{FF2B5EF4-FFF2-40B4-BE49-F238E27FC236}">
                      <a16:creationId xmlns:a16="http://schemas.microsoft.com/office/drawing/2014/main" id="{00000000-0008-0000-0A00-000035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670" y="161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10,2x10</a:t>
                  </a:r>
                  <a:r>
                    <a:rPr lang="pt-PT" sz="1100" b="1" i="0" u="none" strike="noStrike" baseline="30000">
                      <a:solidFill>
                        <a:srgbClr val="000000"/>
                      </a:solidFill>
                      <a:latin typeface="Arial"/>
                      <a:cs typeface="Arial"/>
                    </a:rPr>
                    <a:t>-3</a:t>
                  </a:r>
                </a:p>
              </xdr:txBody>
            </xdr:sp>
            <xdr:sp macro="" textlink="">
              <xdr:nvSpPr>
                <xdr:cNvPr id="54" name="Text Box 19">
                  <a:extLst>
                    <a:ext uri="{FF2B5EF4-FFF2-40B4-BE49-F238E27FC236}">
                      <a16:creationId xmlns:a16="http://schemas.microsoft.com/office/drawing/2014/main" id="{00000000-0008-0000-0A00-000036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91" y="161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10</a:t>
                  </a:r>
                  <a:r>
                    <a:rPr lang="pt-PT" sz="1100" b="1" i="0" u="none" strike="noStrike" baseline="30000">
                      <a:solidFill>
                        <a:srgbClr val="000000"/>
                      </a:solidFill>
                      <a:latin typeface="Arial"/>
                      <a:cs typeface="Arial"/>
                    </a:rPr>
                    <a:t>-2</a:t>
                  </a:r>
                </a:p>
              </xdr:txBody>
            </xdr:sp>
            <xdr:sp macro="" textlink="">
              <xdr:nvSpPr>
                <xdr:cNvPr id="55" name="Text Box 20">
                  <a:extLst>
                    <a:ext uri="{FF2B5EF4-FFF2-40B4-BE49-F238E27FC236}">
                      <a16:creationId xmlns:a16="http://schemas.microsoft.com/office/drawing/2014/main" id="{00000000-0008-0000-0A00-000037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11" y="1620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-</a:t>
                  </a:r>
                </a:p>
              </xdr:txBody>
            </xdr:sp>
            <xdr:sp macro="" textlink="">
              <xdr:nvSpPr>
                <xdr:cNvPr id="56" name="Text Box 21">
                  <a:extLst>
                    <a:ext uri="{FF2B5EF4-FFF2-40B4-BE49-F238E27FC236}">
                      <a16:creationId xmlns:a16="http://schemas.microsoft.com/office/drawing/2014/main" id="{00000000-0008-0000-0A00-000038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432" y="161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5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1200" b="1" i="0" u="none" strike="noStrike" baseline="0">
                      <a:solidFill>
                        <a:schemeClr val="bg1"/>
                      </a:solidFill>
                      <a:latin typeface="Arial"/>
                      <a:cs typeface="Arial"/>
                    </a:rPr>
                    <a:t>kPa</a:t>
                  </a:r>
                </a:p>
              </xdr:txBody>
            </xdr:sp>
          </xdr:grpSp>
          <xdr:grpSp>
            <xdr:nvGrpSpPr>
              <xdr:cNvPr id="6731511" name="Group 22">
                <a:extLst>
                  <a:ext uri="{FF2B5EF4-FFF2-40B4-BE49-F238E27FC236}">
                    <a16:creationId xmlns:a16="http://schemas.microsoft.com/office/drawing/2014/main" id="{00000000-0008-0000-0A00-0000F7B666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32" y="1649"/>
                <a:ext cx="551" cy="26"/>
                <a:chOff x="1432" y="1649"/>
                <a:chExt cx="551" cy="26"/>
              </a:xfrm>
            </xdr:grpSpPr>
            <xdr:sp macro="" textlink="">
              <xdr:nvSpPr>
                <xdr:cNvPr id="43" name="Text Box 23">
                  <a:extLst>
                    <a:ext uri="{FF2B5EF4-FFF2-40B4-BE49-F238E27FC236}">
                      <a16:creationId xmlns:a16="http://schemas.microsoft.com/office/drawing/2014/main" id="{00000000-0008-0000-0A00-00002B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907" y="164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14,505</a:t>
                  </a:r>
                </a:p>
              </xdr:txBody>
            </xdr:sp>
            <xdr:sp macro="" textlink="">
              <xdr:nvSpPr>
                <xdr:cNvPr id="44" name="Text Box 24">
                  <a:extLst>
                    <a:ext uri="{FF2B5EF4-FFF2-40B4-BE49-F238E27FC236}">
                      <a16:creationId xmlns:a16="http://schemas.microsoft.com/office/drawing/2014/main" id="{00000000-0008-0000-0A00-00002C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828" y="164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0,987</a:t>
                  </a:r>
                </a:p>
              </xdr:txBody>
            </xdr:sp>
            <xdr:sp macro="" textlink="">
              <xdr:nvSpPr>
                <xdr:cNvPr id="45" name="Text Box 25">
                  <a:extLst>
                    <a:ext uri="{FF2B5EF4-FFF2-40B4-BE49-F238E27FC236}">
                      <a16:creationId xmlns:a16="http://schemas.microsoft.com/office/drawing/2014/main" id="{00000000-0008-0000-0A00-00002D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749" y="164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10,197</a:t>
                  </a:r>
                </a:p>
              </xdr:txBody>
            </xdr:sp>
            <xdr:sp macro="" textlink="">
              <xdr:nvSpPr>
                <xdr:cNvPr id="46" name="Text Box 26">
                  <a:extLst>
                    <a:ext uri="{FF2B5EF4-FFF2-40B4-BE49-F238E27FC236}">
                      <a16:creationId xmlns:a16="http://schemas.microsoft.com/office/drawing/2014/main" id="{00000000-0008-0000-0A00-00002E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670" y="164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1,0197</a:t>
                  </a:r>
                </a:p>
              </xdr:txBody>
            </xdr:sp>
            <xdr:sp macro="" textlink="">
              <xdr:nvSpPr>
                <xdr:cNvPr id="47" name="Text Box 27">
                  <a:extLst>
                    <a:ext uri="{FF2B5EF4-FFF2-40B4-BE49-F238E27FC236}">
                      <a16:creationId xmlns:a16="http://schemas.microsoft.com/office/drawing/2014/main" id="{00000000-0008-0000-0A00-00002F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91" y="164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-</a:t>
                  </a:r>
                </a:p>
              </xdr:txBody>
            </xdr:sp>
            <xdr:sp macro="" textlink="">
              <xdr:nvSpPr>
                <xdr:cNvPr id="48" name="Text Box 28">
                  <a:extLst>
                    <a:ext uri="{FF2B5EF4-FFF2-40B4-BE49-F238E27FC236}">
                      <a16:creationId xmlns:a16="http://schemas.microsoft.com/office/drawing/2014/main" id="{00000000-0008-0000-0A00-000030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11" y="164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100</a:t>
                  </a:r>
                </a:p>
              </xdr:txBody>
            </xdr:sp>
            <xdr:sp macro="" textlink="">
              <xdr:nvSpPr>
                <xdr:cNvPr id="49" name="Text Box 29">
                  <a:extLst>
                    <a:ext uri="{FF2B5EF4-FFF2-40B4-BE49-F238E27FC236}">
                      <a16:creationId xmlns:a16="http://schemas.microsoft.com/office/drawing/2014/main" id="{00000000-0008-0000-0A00-000031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432" y="164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5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1200" b="1" i="0" u="none" strike="noStrike" baseline="0">
                      <a:solidFill>
                        <a:schemeClr val="bg1"/>
                      </a:solidFill>
                      <a:latin typeface="Arial"/>
                      <a:cs typeface="Arial"/>
                    </a:rPr>
                    <a:t>bar</a:t>
                  </a:r>
                </a:p>
              </xdr:txBody>
            </xdr:sp>
          </xdr:grpSp>
          <xdr:grpSp>
            <xdr:nvGrpSpPr>
              <xdr:cNvPr id="6731512" name="Group 30">
                <a:extLst>
                  <a:ext uri="{FF2B5EF4-FFF2-40B4-BE49-F238E27FC236}">
                    <a16:creationId xmlns:a16="http://schemas.microsoft.com/office/drawing/2014/main" id="{00000000-0008-0000-0A00-0000F8B666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32" y="1679"/>
                <a:ext cx="551" cy="26"/>
                <a:chOff x="1432" y="1679"/>
                <a:chExt cx="551" cy="26"/>
              </a:xfrm>
            </xdr:grpSpPr>
            <xdr:sp macro="" textlink="">
              <xdr:nvSpPr>
                <xdr:cNvPr id="36" name="Text Box 31">
                  <a:extLst>
                    <a:ext uri="{FF2B5EF4-FFF2-40B4-BE49-F238E27FC236}">
                      <a16:creationId xmlns:a16="http://schemas.microsoft.com/office/drawing/2014/main" id="{00000000-0008-0000-0A00-000024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907" y="167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14,220</a:t>
                  </a:r>
                </a:p>
              </xdr:txBody>
            </xdr:sp>
            <xdr:sp macro="" textlink="">
              <xdr:nvSpPr>
                <xdr:cNvPr id="37" name="Text Box 32">
                  <a:extLst>
                    <a:ext uri="{FF2B5EF4-FFF2-40B4-BE49-F238E27FC236}">
                      <a16:creationId xmlns:a16="http://schemas.microsoft.com/office/drawing/2014/main" id="{00000000-0008-0000-0A00-000025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828" y="167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0,968</a:t>
                  </a:r>
                </a:p>
              </xdr:txBody>
            </xdr:sp>
            <xdr:sp macro="" textlink="">
              <xdr:nvSpPr>
                <xdr:cNvPr id="38" name="Text Box 33">
                  <a:extLst>
                    <a:ext uri="{FF2B5EF4-FFF2-40B4-BE49-F238E27FC236}">
                      <a16:creationId xmlns:a16="http://schemas.microsoft.com/office/drawing/2014/main" id="{00000000-0008-0000-0A00-000026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749" y="167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10</a:t>
                  </a:r>
                </a:p>
              </xdr:txBody>
            </xdr:sp>
            <xdr:sp macro="" textlink="">
              <xdr:nvSpPr>
                <xdr:cNvPr id="39" name="Text Box 34">
                  <a:extLst>
                    <a:ext uri="{FF2B5EF4-FFF2-40B4-BE49-F238E27FC236}">
                      <a16:creationId xmlns:a16="http://schemas.microsoft.com/office/drawing/2014/main" id="{00000000-0008-0000-0A00-000027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670" y="167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-</a:t>
                  </a:r>
                </a:p>
              </xdr:txBody>
            </xdr:sp>
            <xdr:sp macro="" textlink="">
              <xdr:nvSpPr>
                <xdr:cNvPr id="40" name="Text Box 35">
                  <a:extLst>
                    <a:ext uri="{FF2B5EF4-FFF2-40B4-BE49-F238E27FC236}">
                      <a16:creationId xmlns:a16="http://schemas.microsoft.com/office/drawing/2014/main" id="{00000000-0008-0000-0A00-000028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91" y="167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0,9807</a:t>
                  </a:r>
                </a:p>
              </xdr:txBody>
            </xdr:sp>
            <xdr:sp macro="" textlink="">
              <xdr:nvSpPr>
                <xdr:cNvPr id="41" name="Text Box 36">
                  <a:extLst>
                    <a:ext uri="{FF2B5EF4-FFF2-40B4-BE49-F238E27FC236}">
                      <a16:creationId xmlns:a16="http://schemas.microsoft.com/office/drawing/2014/main" id="{00000000-0008-0000-0A00-000029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11" y="167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98,1</a:t>
                  </a:r>
                </a:p>
              </xdr:txBody>
            </xdr:sp>
            <xdr:sp macro="" textlink="">
              <xdr:nvSpPr>
                <xdr:cNvPr id="42" name="Text Box 37">
                  <a:extLst>
                    <a:ext uri="{FF2B5EF4-FFF2-40B4-BE49-F238E27FC236}">
                      <a16:creationId xmlns:a16="http://schemas.microsoft.com/office/drawing/2014/main" id="{00000000-0008-0000-0A00-00002A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432" y="167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5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1100" b="1" i="0" u="none" strike="noStrike" baseline="0">
                      <a:solidFill>
                        <a:schemeClr val="bg1"/>
                      </a:solidFill>
                      <a:latin typeface="Arial"/>
                      <a:cs typeface="Arial"/>
                    </a:rPr>
                    <a:t>kgf/cm</a:t>
                  </a:r>
                  <a:r>
                    <a:rPr lang="pt-PT" sz="1100" b="1" i="0" u="none" strike="noStrike" baseline="30000">
                      <a:solidFill>
                        <a:schemeClr val="bg1"/>
                      </a:solidFill>
                      <a:latin typeface="Arial"/>
                      <a:cs typeface="Arial"/>
                    </a:rPr>
                    <a:t>2</a:t>
                  </a:r>
                </a:p>
              </xdr:txBody>
            </xdr:sp>
          </xdr:grpSp>
          <xdr:grpSp>
            <xdr:nvGrpSpPr>
              <xdr:cNvPr id="6731513" name="Group 38">
                <a:extLst>
                  <a:ext uri="{FF2B5EF4-FFF2-40B4-BE49-F238E27FC236}">
                    <a16:creationId xmlns:a16="http://schemas.microsoft.com/office/drawing/2014/main" id="{00000000-0008-0000-0A00-0000F9B666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32" y="1709"/>
                <a:ext cx="551" cy="26"/>
                <a:chOff x="1432" y="1709"/>
                <a:chExt cx="551" cy="26"/>
              </a:xfrm>
            </xdr:grpSpPr>
            <xdr:sp macro="" textlink="">
              <xdr:nvSpPr>
                <xdr:cNvPr id="29" name="Text Box 39">
                  <a:extLst>
                    <a:ext uri="{FF2B5EF4-FFF2-40B4-BE49-F238E27FC236}">
                      <a16:creationId xmlns:a16="http://schemas.microsoft.com/office/drawing/2014/main" id="{00000000-0008-0000-0A00-00001D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907" y="170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1,4225</a:t>
                  </a:r>
                </a:p>
              </xdr:txBody>
            </xdr:sp>
            <xdr:sp macro="" textlink="">
              <xdr:nvSpPr>
                <xdr:cNvPr id="30" name="Text Box 40">
                  <a:extLst>
                    <a:ext uri="{FF2B5EF4-FFF2-40B4-BE49-F238E27FC236}">
                      <a16:creationId xmlns:a16="http://schemas.microsoft.com/office/drawing/2014/main" id="{00000000-0008-0000-0A00-00001E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828" y="170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96,78x10</a:t>
                  </a:r>
                  <a:r>
                    <a:rPr lang="pt-PT" sz="1100" b="0" i="0" u="none" strike="noStrike" baseline="30000">
                      <a:solidFill>
                        <a:srgbClr val="000000"/>
                      </a:solidFill>
                      <a:latin typeface="Arial"/>
                      <a:cs typeface="Arial"/>
                    </a:rPr>
                    <a:t>-3</a:t>
                  </a:r>
                </a:p>
              </xdr:txBody>
            </xdr:sp>
            <xdr:sp macro="" textlink="">
              <xdr:nvSpPr>
                <xdr:cNvPr id="31" name="Text Box 41">
                  <a:extLst>
                    <a:ext uri="{FF2B5EF4-FFF2-40B4-BE49-F238E27FC236}">
                      <a16:creationId xmlns:a16="http://schemas.microsoft.com/office/drawing/2014/main" id="{00000000-0008-0000-0A00-00001F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749" y="170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-</a:t>
                  </a:r>
                </a:p>
              </xdr:txBody>
            </xdr:sp>
            <xdr:sp macro="" textlink="">
              <xdr:nvSpPr>
                <xdr:cNvPr id="32" name="Text Box 42">
                  <a:extLst>
                    <a:ext uri="{FF2B5EF4-FFF2-40B4-BE49-F238E27FC236}">
                      <a16:creationId xmlns:a16="http://schemas.microsoft.com/office/drawing/2014/main" id="{00000000-0008-0000-0A00-000020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670" y="170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0,1</a:t>
                  </a:r>
                </a:p>
              </xdr:txBody>
            </xdr:sp>
            <xdr:sp macro="" textlink="">
              <xdr:nvSpPr>
                <xdr:cNvPr id="33" name="Text Box 43">
                  <a:extLst>
                    <a:ext uri="{FF2B5EF4-FFF2-40B4-BE49-F238E27FC236}">
                      <a16:creationId xmlns:a16="http://schemas.microsoft.com/office/drawing/2014/main" id="{00000000-0008-0000-0A00-000021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91" y="170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98,07x10</a:t>
                  </a:r>
                  <a:r>
                    <a:rPr lang="pt-PT" sz="1100" b="1" i="0" u="none" strike="noStrike" baseline="30000">
                      <a:solidFill>
                        <a:srgbClr val="000000"/>
                      </a:solidFill>
                      <a:latin typeface="Arial"/>
                      <a:cs typeface="Arial"/>
                    </a:rPr>
                    <a:t>-3</a:t>
                  </a:r>
                </a:p>
              </xdr:txBody>
            </xdr:sp>
            <xdr:sp macro="" textlink="">
              <xdr:nvSpPr>
                <xdr:cNvPr id="34" name="Text Box 44">
                  <a:extLst>
                    <a:ext uri="{FF2B5EF4-FFF2-40B4-BE49-F238E27FC236}">
                      <a16:creationId xmlns:a16="http://schemas.microsoft.com/office/drawing/2014/main" id="{00000000-0008-0000-0A00-000022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11" y="170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9,81</a:t>
                  </a:r>
                </a:p>
              </xdr:txBody>
            </xdr:sp>
            <xdr:sp macro="" textlink="">
              <xdr:nvSpPr>
                <xdr:cNvPr id="35" name="Text Box 45">
                  <a:extLst>
                    <a:ext uri="{FF2B5EF4-FFF2-40B4-BE49-F238E27FC236}">
                      <a16:creationId xmlns:a16="http://schemas.microsoft.com/office/drawing/2014/main" id="{00000000-0008-0000-0A00-000023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432" y="170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5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1200" b="1" i="0" u="none" strike="noStrike" baseline="0">
                      <a:solidFill>
                        <a:schemeClr val="bg1"/>
                      </a:solidFill>
                      <a:latin typeface="Arial"/>
                      <a:cs typeface="Arial"/>
                    </a:rPr>
                    <a:t>m.c.a.</a:t>
                  </a:r>
                </a:p>
              </xdr:txBody>
            </xdr:sp>
          </xdr:grpSp>
          <xdr:grpSp>
            <xdr:nvGrpSpPr>
              <xdr:cNvPr id="6731514" name="Group 46">
                <a:extLst>
                  <a:ext uri="{FF2B5EF4-FFF2-40B4-BE49-F238E27FC236}">
                    <a16:creationId xmlns:a16="http://schemas.microsoft.com/office/drawing/2014/main" id="{00000000-0008-0000-0A00-0000FAB666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32" y="1739"/>
                <a:ext cx="551" cy="26"/>
                <a:chOff x="1432" y="1739"/>
                <a:chExt cx="551" cy="26"/>
              </a:xfrm>
            </xdr:grpSpPr>
            <xdr:sp macro="" textlink="">
              <xdr:nvSpPr>
                <xdr:cNvPr id="22" name="Text Box 47">
                  <a:extLst>
                    <a:ext uri="{FF2B5EF4-FFF2-40B4-BE49-F238E27FC236}">
                      <a16:creationId xmlns:a16="http://schemas.microsoft.com/office/drawing/2014/main" id="{00000000-0008-0000-0A00-000016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907" y="173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14,652</a:t>
                  </a:r>
                </a:p>
              </xdr:txBody>
            </xdr:sp>
            <xdr:sp macro="" textlink="">
              <xdr:nvSpPr>
                <xdr:cNvPr id="23" name="Text Box 48">
                  <a:extLst>
                    <a:ext uri="{FF2B5EF4-FFF2-40B4-BE49-F238E27FC236}">
                      <a16:creationId xmlns:a16="http://schemas.microsoft.com/office/drawing/2014/main" id="{00000000-0008-0000-0A00-000017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828" y="173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-</a:t>
                  </a:r>
                </a:p>
              </xdr:txBody>
            </xdr:sp>
            <xdr:sp macro="" textlink="">
              <xdr:nvSpPr>
                <xdr:cNvPr id="24" name="Text Box 49">
                  <a:extLst>
                    <a:ext uri="{FF2B5EF4-FFF2-40B4-BE49-F238E27FC236}">
                      <a16:creationId xmlns:a16="http://schemas.microsoft.com/office/drawing/2014/main" id="{00000000-0008-0000-0A00-000018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749" y="173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10,33</a:t>
                  </a:r>
                </a:p>
              </xdr:txBody>
            </xdr:sp>
            <xdr:sp macro="" textlink="">
              <xdr:nvSpPr>
                <xdr:cNvPr id="25" name="Text Box 50">
                  <a:extLst>
                    <a:ext uri="{FF2B5EF4-FFF2-40B4-BE49-F238E27FC236}">
                      <a16:creationId xmlns:a16="http://schemas.microsoft.com/office/drawing/2014/main" id="{00000000-0008-0000-0A00-000019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670" y="173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1,033</a:t>
                  </a:r>
                </a:p>
              </xdr:txBody>
            </xdr:sp>
            <xdr:sp macro="" textlink="">
              <xdr:nvSpPr>
                <xdr:cNvPr id="26" name="Text Box 51">
                  <a:extLst>
                    <a:ext uri="{FF2B5EF4-FFF2-40B4-BE49-F238E27FC236}">
                      <a16:creationId xmlns:a16="http://schemas.microsoft.com/office/drawing/2014/main" id="{00000000-0008-0000-0A00-00001A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91" y="173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1,013</a:t>
                  </a:r>
                </a:p>
              </xdr:txBody>
            </xdr:sp>
            <xdr:sp macro="" textlink="">
              <xdr:nvSpPr>
                <xdr:cNvPr id="27" name="Text Box 52">
                  <a:extLst>
                    <a:ext uri="{FF2B5EF4-FFF2-40B4-BE49-F238E27FC236}">
                      <a16:creationId xmlns:a16="http://schemas.microsoft.com/office/drawing/2014/main" id="{00000000-0008-0000-0A00-00001B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11" y="173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101,3</a:t>
                  </a:r>
                </a:p>
              </xdr:txBody>
            </xdr:sp>
            <xdr:sp macro="" textlink="">
              <xdr:nvSpPr>
                <xdr:cNvPr id="28" name="Text Box 53">
                  <a:extLst>
                    <a:ext uri="{FF2B5EF4-FFF2-40B4-BE49-F238E27FC236}">
                      <a16:creationId xmlns:a16="http://schemas.microsoft.com/office/drawing/2014/main" id="{00000000-0008-0000-0A00-00001C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432" y="173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5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1200" b="1" i="0" u="none" strike="noStrike" baseline="0">
                      <a:solidFill>
                        <a:schemeClr val="bg1"/>
                      </a:solidFill>
                      <a:latin typeface="Arial"/>
                      <a:cs typeface="Arial"/>
                    </a:rPr>
                    <a:t>atm</a:t>
                  </a:r>
                </a:p>
              </xdr:txBody>
            </xdr:sp>
          </xdr:grpSp>
          <xdr:grpSp>
            <xdr:nvGrpSpPr>
              <xdr:cNvPr id="6731515" name="Group 54">
                <a:extLst>
                  <a:ext uri="{FF2B5EF4-FFF2-40B4-BE49-F238E27FC236}">
                    <a16:creationId xmlns:a16="http://schemas.microsoft.com/office/drawing/2014/main" id="{00000000-0008-0000-0A00-0000FBB666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32" y="1768"/>
                <a:ext cx="551" cy="26"/>
                <a:chOff x="1432" y="1768"/>
                <a:chExt cx="551" cy="26"/>
              </a:xfrm>
            </xdr:grpSpPr>
            <xdr:sp macro="" textlink="">
              <xdr:nvSpPr>
                <xdr:cNvPr id="15" name="Text Box 55">
                  <a:extLst>
                    <a:ext uri="{FF2B5EF4-FFF2-40B4-BE49-F238E27FC236}">
                      <a16:creationId xmlns:a16="http://schemas.microsoft.com/office/drawing/2014/main" id="{00000000-0008-0000-0A00-00000F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907" y="1768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-</a:t>
                  </a:r>
                </a:p>
              </xdr:txBody>
            </xdr:sp>
            <xdr:sp macro="" textlink="">
              <xdr:nvSpPr>
                <xdr:cNvPr id="16" name="Text Box 56">
                  <a:extLst>
                    <a:ext uri="{FF2B5EF4-FFF2-40B4-BE49-F238E27FC236}">
                      <a16:creationId xmlns:a16="http://schemas.microsoft.com/office/drawing/2014/main" id="{00000000-0008-0000-0A00-000010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828" y="1768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68,94x10</a:t>
                  </a:r>
                  <a:r>
                    <a:rPr lang="pt-PT" sz="1100" b="0" i="0" u="none" strike="noStrike" baseline="30000">
                      <a:solidFill>
                        <a:srgbClr val="000000"/>
                      </a:solidFill>
                      <a:latin typeface="Arial"/>
                      <a:cs typeface="Arial"/>
                    </a:rPr>
                    <a:t>-3</a:t>
                  </a:r>
                </a:p>
              </xdr:txBody>
            </xdr:sp>
            <xdr:sp macro="" textlink="">
              <xdr:nvSpPr>
                <xdr:cNvPr id="17" name="Text Box 57">
                  <a:extLst>
                    <a:ext uri="{FF2B5EF4-FFF2-40B4-BE49-F238E27FC236}">
                      <a16:creationId xmlns:a16="http://schemas.microsoft.com/office/drawing/2014/main" id="{00000000-0008-0000-0A00-000011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749" y="1768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0,703</a:t>
                  </a:r>
                </a:p>
              </xdr:txBody>
            </xdr:sp>
            <xdr:sp macro="" textlink="">
              <xdr:nvSpPr>
                <xdr:cNvPr id="18" name="Text Box 58">
                  <a:extLst>
                    <a:ext uri="{FF2B5EF4-FFF2-40B4-BE49-F238E27FC236}">
                      <a16:creationId xmlns:a16="http://schemas.microsoft.com/office/drawing/2014/main" id="{00000000-0008-0000-0A00-000012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670" y="1768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70,3x10</a:t>
                  </a:r>
                  <a:r>
                    <a:rPr lang="pt-PT" sz="1100" b="1" i="0" u="none" strike="noStrike" baseline="30000">
                      <a:solidFill>
                        <a:srgbClr val="000000"/>
                      </a:solidFill>
                      <a:latin typeface="Arial"/>
                      <a:cs typeface="Arial"/>
                    </a:rPr>
                    <a:t>-3</a:t>
                  </a:r>
                </a:p>
              </xdr:txBody>
            </xdr:sp>
            <xdr:sp macro="" textlink="">
              <xdr:nvSpPr>
                <xdr:cNvPr id="19" name="Text Box 59">
                  <a:extLst>
                    <a:ext uri="{FF2B5EF4-FFF2-40B4-BE49-F238E27FC236}">
                      <a16:creationId xmlns:a16="http://schemas.microsoft.com/office/drawing/2014/main" id="{00000000-0008-0000-0A00-000013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91" y="1768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68,05x10</a:t>
                  </a:r>
                  <a:r>
                    <a:rPr lang="pt-PT" sz="1100" b="1" i="0" u="none" strike="noStrike" baseline="30000">
                      <a:solidFill>
                        <a:srgbClr val="000000"/>
                      </a:solidFill>
                      <a:latin typeface="Arial"/>
                      <a:cs typeface="Arial"/>
                    </a:rPr>
                    <a:t>-3</a:t>
                  </a:r>
                </a:p>
              </xdr:txBody>
            </xdr:sp>
            <xdr:sp macro="" textlink="">
              <xdr:nvSpPr>
                <xdr:cNvPr id="20" name="Text Box 60">
                  <a:extLst>
                    <a:ext uri="{FF2B5EF4-FFF2-40B4-BE49-F238E27FC236}">
                      <a16:creationId xmlns:a16="http://schemas.microsoft.com/office/drawing/2014/main" id="{00000000-0008-0000-0A00-000014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11" y="1768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6,895</a:t>
                  </a:r>
                </a:p>
              </xdr:txBody>
            </xdr:sp>
            <xdr:sp macro="" textlink="">
              <xdr:nvSpPr>
                <xdr:cNvPr id="21" name="Text Box 61">
                  <a:extLst>
                    <a:ext uri="{FF2B5EF4-FFF2-40B4-BE49-F238E27FC236}">
                      <a16:creationId xmlns:a16="http://schemas.microsoft.com/office/drawing/2014/main" id="{00000000-0008-0000-0A00-00001500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432" y="1768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5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1200" b="1" i="0" u="none" strike="noStrike" baseline="0">
                      <a:solidFill>
                        <a:schemeClr val="bg1"/>
                      </a:solidFill>
                      <a:latin typeface="Arial"/>
                      <a:cs typeface="Arial"/>
                    </a:rPr>
                    <a:t>psi</a:t>
                  </a:r>
                </a:p>
              </xdr:txBody>
            </xdr:sp>
          </xdr:grpSp>
        </xdr:grpSp>
        <xdr:sp macro="" textlink="">
          <xdr:nvSpPr>
            <xdr:cNvPr id="6" name="Text Box 62">
              <a:extLst>
                <a:ext uri="{FF2B5EF4-FFF2-40B4-BE49-F238E27FC236}">
                  <a16:creationId xmlns:a16="http://schemas.microsoft.com/office/drawing/2014/main" id="{00000000-0008-0000-0A00-00000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389" y="1619"/>
              <a:ext cx="40" cy="175"/>
            </a:xfrm>
            <a:prstGeom prst="rect">
              <a:avLst/>
            </a:prstGeom>
            <a:solidFill>
              <a:schemeClr val="bg2">
                <a:lumMod val="50000"/>
              </a:schemeClr>
            </a:solidFill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wrap="square" lIns="18000" tIns="18000" rIns="18000" bIns="18000" anchor="ctr" upright="1"/>
            <a:lstStyle/>
            <a:p>
              <a:pPr algn="ctr" rtl="0">
                <a:defRPr sz="1000"/>
              </a:pPr>
              <a:r>
                <a:rPr lang="pt-PT" sz="1200" b="1" i="0" u="none" strike="noStrike" baseline="0">
                  <a:solidFill>
                    <a:schemeClr val="bg1"/>
                  </a:solidFill>
                  <a:latin typeface="Arial"/>
                  <a:cs typeface="Arial"/>
                </a:rPr>
                <a:t>De:</a:t>
              </a:r>
            </a:p>
          </xdr:txBody>
        </xdr:sp>
        <xdr:sp macro="" textlink="">
          <xdr:nvSpPr>
            <xdr:cNvPr id="6731508" name="AutoShape 63">
              <a:extLst>
                <a:ext uri="{FF2B5EF4-FFF2-40B4-BE49-F238E27FC236}">
                  <a16:creationId xmlns:a16="http://schemas.microsoft.com/office/drawing/2014/main" id="{00000000-0008-0000-0A00-0000F4B66600}"/>
                </a:ext>
              </a:extLst>
            </xdr:cNvPr>
            <xdr:cNvSpPr>
              <a:spLocks noChangeArrowheads="1"/>
            </xdr:cNvSpPr>
          </xdr:nvSpPr>
          <xdr:spPr bwMode="auto">
            <a:xfrm rot="5400000" flipH="1">
              <a:off x="1399" y="1569"/>
              <a:ext cx="70" cy="48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0 w 21600"/>
                <a:gd name="T9" fmla="*/ 0 h 21600"/>
                <a:gd name="T10" fmla="*/ 0 w 21600"/>
                <a:gd name="T11" fmla="*/ 0 h 21600"/>
                <a:gd name="T12" fmla="*/ 17694720 60000 65536"/>
                <a:gd name="T13" fmla="*/ 11796480 60000 65536"/>
                <a:gd name="T14" fmla="*/ 11796480 60000 65536"/>
                <a:gd name="T15" fmla="*/ 5898240 60000 65536"/>
                <a:gd name="T16" fmla="*/ 0 60000 65536"/>
                <a:gd name="T17" fmla="*/ 0 60000 65536"/>
                <a:gd name="T18" fmla="*/ 10491 w 21600"/>
                <a:gd name="T19" fmla="*/ 3150 h 21600"/>
                <a:gd name="T20" fmla="*/ 17589 w 21600"/>
                <a:gd name="T21" fmla="*/ 21600 h 21600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1600" h="21600">
                  <a:moveTo>
                    <a:pt x="14097" y="0"/>
                  </a:moveTo>
                  <a:lnTo>
                    <a:pt x="6593" y="6593"/>
                  </a:lnTo>
                  <a:lnTo>
                    <a:pt x="10605" y="6593"/>
                  </a:lnTo>
                  <a:lnTo>
                    <a:pt x="10605" y="13024"/>
                  </a:lnTo>
                  <a:lnTo>
                    <a:pt x="0" y="13024"/>
                  </a:lnTo>
                  <a:lnTo>
                    <a:pt x="0" y="21600"/>
                  </a:lnTo>
                  <a:lnTo>
                    <a:pt x="17588" y="21600"/>
                  </a:lnTo>
                  <a:lnTo>
                    <a:pt x="17588" y="6593"/>
                  </a:lnTo>
                  <a:lnTo>
                    <a:pt x="21600" y="6593"/>
                  </a:lnTo>
                  <a:lnTo>
                    <a:pt x="14097" y="0"/>
                  </a:lnTo>
                  <a:close/>
                </a:path>
              </a:pathLst>
            </a:custGeom>
            <a:solidFill>
              <a:schemeClr val="bg2">
                <a:lumMod val="50000"/>
              </a:schemeClr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>
    <xdr:from>
      <xdr:col>0</xdr:col>
      <xdr:colOff>428625</xdr:colOff>
      <xdr:row>19</xdr:row>
      <xdr:rowOff>57486</xdr:rowOff>
    </xdr:from>
    <xdr:to>
      <xdr:col>9</xdr:col>
      <xdr:colOff>860062</xdr:colOff>
      <xdr:row>28</xdr:row>
      <xdr:rowOff>257182</xdr:rowOff>
    </xdr:to>
    <xdr:grpSp>
      <xdr:nvGrpSpPr>
        <xdr:cNvPr id="6731474" name="Group 135">
          <a:extLst>
            <a:ext uri="{FF2B5EF4-FFF2-40B4-BE49-F238E27FC236}">
              <a16:creationId xmlns:a16="http://schemas.microsoft.com/office/drawing/2014/main" id="{00000000-0008-0000-0A00-0000D2B66600}"/>
            </a:ext>
          </a:extLst>
        </xdr:cNvPr>
        <xdr:cNvGrpSpPr>
          <a:grpSpLocks/>
        </xdr:cNvGrpSpPr>
      </xdr:nvGrpSpPr>
      <xdr:grpSpPr bwMode="auto">
        <a:xfrm>
          <a:off x="428625" y="3456798"/>
          <a:ext cx="7294385" cy="2267981"/>
          <a:chOff x="45" y="329"/>
          <a:chExt cx="718" cy="237"/>
        </a:xfrm>
      </xdr:grpSpPr>
      <xdr:sp macro="" textlink="">
        <xdr:nvSpPr>
          <xdr:cNvPr id="66" name="Text Box 127">
            <a:extLst>
              <a:ext uri="{FF2B5EF4-FFF2-40B4-BE49-F238E27FC236}">
                <a16:creationId xmlns:a16="http://schemas.microsoft.com/office/drawing/2014/main" id="{00000000-0008-0000-0A00-00004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5" y="329"/>
            <a:ext cx="718" cy="27"/>
          </a:xfrm>
          <a:prstGeom prst="rect">
            <a:avLst/>
          </a:prstGeom>
          <a:gradFill>
            <a:gsLst>
              <a:gs pos="0">
                <a:schemeClr val="accent2">
                  <a:lumMod val="50000"/>
                </a:schemeClr>
              </a:gs>
              <a:gs pos="100000">
                <a:schemeClr val="accent2">
                  <a:lumMod val="75000"/>
                </a:schemeClr>
              </a:gs>
            </a:gsLst>
            <a:lin ang="5400000" scaled="0"/>
          </a:gra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12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Conversão automática de unidades de Pressão</a:t>
            </a:r>
          </a:p>
        </xdr:txBody>
      </xdr:sp>
      <xdr:grpSp>
        <xdr:nvGrpSpPr>
          <xdr:cNvPr id="6731500" name="Group 132">
            <a:extLst>
              <a:ext uri="{FF2B5EF4-FFF2-40B4-BE49-F238E27FC236}">
                <a16:creationId xmlns:a16="http://schemas.microsoft.com/office/drawing/2014/main" id="{00000000-0008-0000-0A00-0000ECB66600}"/>
              </a:ext>
            </a:extLst>
          </xdr:cNvPr>
          <xdr:cNvGrpSpPr>
            <a:grpSpLocks/>
          </xdr:cNvGrpSpPr>
        </xdr:nvGrpSpPr>
        <xdr:grpSpPr bwMode="auto">
          <a:xfrm>
            <a:off x="45" y="366"/>
            <a:ext cx="102" cy="200"/>
            <a:chOff x="45" y="366"/>
            <a:chExt cx="102" cy="200"/>
          </a:xfrm>
        </xdr:grpSpPr>
        <xdr:sp macro="" textlink="">
          <xdr:nvSpPr>
            <xdr:cNvPr id="68" name="Text Box 128">
              <a:extLst>
                <a:ext uri="{FF2B5EF4-FFF2-40B4-BE49-F238E27FC236}">
                  <a16:creationId xmlns:a16="http://schemas.microsoft.com/office/drawing/2014/main" id="{00000000-0008-0000-0A00-00004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5" y="366"/>
              <a:ext cx="44" cy="200"/>
            </a:xfrm>
            <a:prstGeom prst="rect">
              <a:avLst/>
            </a:prstGeom>
            <a:solidFill>
              <a:schemeClr val="bg2">
                <a:lumMod val="50000"/>
              </a:schemeClr>
            </a:solidFill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vert="vert270" wrap="square" lIns="18000" tIns="18000" rIns="18000" bIns="18000" anchor="ctr" upright="1"/>
            <a:lstStyle/>
            <a:p>
              <a:pPr algn="ctr" rtl="0">
                <a:defRPr sz="1000"/>
              </a:pPr>
              <a:r>
                <a:rPr lang="pt-PT" sz="1200" b="1" i="0" u="none" strike="noStrike" baseline="0">
                  <a:solidFill>
                    <a:schemeClr val="bg1"/>
                  </a:solidFill>
                  <a:latin typeface="Arial"/>
                  <a:cs typeface="Arial"/>
                </a:rPr>
                <a:t>Introdução do valor de pressão a converter</a:t>
              </a:r>
            </a:p>
          </xdr:txBody>
        </xdr:sp>
        <xdr:sp macro="" textlink="">
          <xdr:nvSpPr>
            <xdr:cNvPr id="6731502" name="AutoShape 129">
              <a:extLst>
                <a:ext uri="{FF2B5EF4-FFF2-40B4-BE49-F238E27FC236}">
                  <a16:creationId xmlns:a16="http://schemas.microsoft.com/office/drawing/2014/main" id="{00000000-0008-0000-0A00-0000EEB66600}"/>
                </a:ext>
              </a:extLst>
            </xdr:cNvPr>
            <xdr:cNvSpPr>
              <a:spLocks noChangeArrowheads="1"/>
            </xdr:cNvSpPr>
          </xdr:nvSpPr>
          <xdr:spPr bwMode="auto">
            <a:xfrm flipV="1">
              <a:off x="104" y="366"/>
              <a:ext cx="43" cy="31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0 w 21600"/>
                <a:gd name="T9" fmla="*/ 0 h 21600"/>
                <a:gd name="T10" fmla="*/ 0 w 21600"/>
                <a:gd name="T11" fmla="*/ 0 h 21600"/>
                <a:gd name="T12" fmla="*/ 17694720 60000 65536"/>
                <a:gd name="T13" fmla="*/ 11796480 60000 65536"/>
                <a:gd name="T14" fmla="*/ 11796480 60000 65536"/>
                <a:gd name="T15" fmla="*/ 5898240 60000 65536"/>
                <a:gd name="T16" fmla="*/ 0 60000 65536"/>
                <a:gd name="T17" fmla="*/ 0 60000 65536"/>
                <a:gd name="T18" fmla="*/ 12558 w 21600"/>
                <a:gd name="T19" fmla="*/ 3484 h 21600"/>
                <a:gd name="T20" fmla="*/ 18586 w 21600"/>
                <a:gd name="T21" fmla="*/ 21600 h 21600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1600" h="21600">
                  <a:moveTo>
                    <a:pt x="15429" y="0"/>
                  </a:moveTo>
                  <a:lnTo>
                    <a:pt x="9257" y="7200"/>
                  </a:lnTo>
                  <a:lnTo>
                    <a:pt x="12343" y="7200"/>
                  </a:lnTo>
                  <a:lnTo>
                    <a:pt x="12343" y="14400"/>
                  </a:lnTo>
                  <a:lnTo>
                    <a:pt x="0" y="14400"/>
                  </a:lnTo>
                  <a:lnTo>
                    <a:pt x="0" y="21600"/>
                  </a:lnTo>
                  <a:lnTo>
                    <a:pt x="18514" y="21600"/>
                  </a:lnTo>
                  <a:lnTo>
                    <a:pt x="18514" y="7200"/>
                  </a:lnTo>
                  <a:lnTo>
                    <a:pt x="21600" y="7200"/>
                  </a:lnTo>
                  <a:lnTo>
                    <a:pt x="15429" y="0"/>
                  </a:lnTo>
                  <a:close/>
                </a:path>
              </a:pathLst>
            </a:custGeom>
            <a:solidFill>
              <a:schemeClr val="bg2">
                <a:lumMod val="50000"/>
              </a:schemeClr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731503" name="Rectangle 131">
              <a:extLst>
                <a:ext uri="{FF2B5EF4-FFF2-40B4-BE49-F238E27FC236}">
                  <a16:creationId xmlns:a16="http://schemas.microsoft.com/office/drawing/2014/main" id="{00000000-0008-0000-0A00-0000EFB66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8" y="366"/>
              <a:ext cx="32" cy="10"/>
            </a:xfrm>
            <a:prstGeom prst="rect">
              <a:avLst/>
            </a:prstGeom>
            <a:solidFill>
              <a:schemeClr val="bg2">
                <a:lumMod val="50000"/>
              </a:schemeClr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 editAs="absolute">
    <xdr:from>
      <xdr:col>8</xdr:col>
      <xdr:colOff>171450</xdr:colOff>
      <xdr:row>29</xdr:row>
      <xdr:rowOff>115661</xdr:rowOff>
    </xdr:from>
    <xdr:to>
      <xdr:col>9</xdr:col>
      <xdr:colOff>733425</xdr:colOff>
      <xdr:row>31</xdr:row>
      <xdr:rowOff>163286</xdr:rowOff>
    </xdr:to>
    <xdr:grpSp>
      <xdr:nvGrpSpPr>
        <xdr:cNvPr id="6731475" name="Group 119">
          <a:extLst>
            <a:ext uri="{FF2B5EF4-FFF2-40B4-BE49-F238E27FC236}">
              <a16:creationId xmlns:a16="http://schemas.microsoft.com/office/drawing/2014/main" id="{00000000-0008-0000-0A00-0000D3B66600}"/>
            </a:ext>
          </a:extLst>
        </xdr:cNvPr>
        <xdr:cNvGrpSpPr>
          <a:grpSpLocks/>
        </xdr:cNvGrpSpPr>
      </xdr:nvGrpSpPr>
      <xdr:grpSpPr bwMode="auto">
        <a:xfrm>
          <a:off x="6163541" y="5865297"/>
          <a:ext cx="1432832" cy="582015"/>
          <a:chOff x="1047" y="1851"/>
          <a:chExt cx="145" cy="61"/>
        </a:xfrm>
      </xdr:grpSpPr>
      <xdr:pic>
        <xdr:nvPicPr>
          <xdr:cNvPr id="6731497" name="Picture 105" descr="Resize of logoapta">
            <a:extLst>
              <a:ext uri="{FF2B5EF4-FFF2-40B4-BE49-F238E27FC236}">
                <a16:creationId xmlns:a16="http://schemas.microsoft.com/office/drawing/2014/main" id="{00000000-0008-0000-0A00-0000E9B666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lum contras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2" y="1851"/>
            <a:ext cx="90" cy="5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3" name="Text Box 10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A00-00004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7" y="1882"/>
            <a:ext cx="71" cy="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PT" sz="8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info@apta.pt</a:t>
            </a:r>
          </a:p>
          <a:p>
            <a:pPr algn="ctr" rtl="0">
              <a:defRPr sz="1000"/>
            </a:pPr>
            <a:r>
              <a:rPr lang="pt-PT" sz="8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www.apta.pt</a:t>
            </a:r>
          </a:p>
        </xdr:txBody>
      </xdr:sp>
    </xdr:grpSp>
    <xdr:clientData/>
  </xdr:twoCellAnchor>
  <xdr:twoCellAnchor>
    <xdr:from>
      <xdr:col>4</xdr:col>
      <xdr:colOff>19050</xdr:colOff>
      <xdr:row>21</xdr:row>
      <xdr:rowOff>36738</xdr:rowOff>
    </xdr:from>
    <xdr:to>
      <xdr:col>9</xdr:col>
      <xdr:colOff>859972</xdr:colOff>
      <xdr:row>22</xdr:row>
      <xdr:rowOff>174171</xdr:rowOff>
    </xdr:to>
    <xdr:grpSp>
      <xdr:nvGrpSpPr>
        <xdr:cNvPr id="6731476" name="Grupo 79">
          <a:extLst>
            <a:ext uri="{FF2B5EF4-FFF2-40B4-BE49-F238E27FC236}">
              <a16:creationId xmlns:a16="http://schemas.microsoft.com/office/drawing/2014/main" id="{00000000-0008-0000-0A00-0000D4B66600}"/>
            </a:ext>
          </a:extLst>
        </xdr:cNvPr>
        <xdr:cNvGrpSpPr>
          <a:grpSpLocks/>
        </xdr:cNvGrpSpPr>
      </xdr:nvGrpSpPr>
      <xdr:grpSpPr bwMode="auto">
        <a:xfrm>
          <a:off x="2527713" y="3752725"/>
          <a:ext cx="5195207" cy="295771"/>
          <a:chOff x="7429500" y="2590800"/>
          <a:chExt cx="4882315" cy="247650"/>
        </a:xfrm>
      </xdr:grpSpPr>
      <xdr:sp macro="" textlink="">
        <xdr:nvSpPr>
          <xdr:cNvPr id="74" name="Text Box 8">
            <a:extLst>
              <a:ext uri="{FF2B5EF4-FFF2-40B4-BE49-F238E27FC236}">
                <a16:creationId xmlns:a16="http://schemas.microsoft.com/office/drawing/2014/main" id="{00000000-0008-0000-0A00-00004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521290" y="2590800"/>
            <a:ext cx="790525" cy="247650"/>
          </a:xfrm>
          <a:prstGeom prst="rect">
            <a:avLst/>
          </a:prstGeom>
          <a:solidFill>
            <a:schemeClr val="bg2">
              <a:lumMod val="50000"/>
            </a:scheme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1200" b="1" i="0" u="none" strike="noStrike" baseline="0">
                <a:solidFill>
                  <a:schemeClr val="bg1"/>
                </a:solidFill>
                <a:latin typeface="Arial"/>
                <a:cs typeface="Arial"/>
              </a:rPr>
              <a:t>psi</a:t>
            </a:r>
          </a:p>
        </xdr:txBody>
      </xdr:sp>
      <xdr:sp macro="" textlink="">
        <xdr:nvSpPr>
          <xdr:cNvPr id="75" name="Text Box 9">
            <a:extLst>
              <a:ext uri="{FF2B5EF4-FFF2-40B4-BE49-F238E27FC236}">
                <a16:creationId xmlns:a16="http://schemas.microsoft.com/office/drawing/2014/main" id="{00000000-0008-0000-0A00-00004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695460" y="2590800"/>
            <a:ext cx="797284" cy="247650"/>
          </a:xfrm>
          <a:prstGeom prst="rect">
            <a:avLst/>
          </a:prstGeom>
          <a:solidFill>
            <a:schemeClr val="bg2">
              <a:lumMod val="50000"/>
            </a:scheme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1200" b="1" i="0" u="none" strike="noStrike" baseline="0">
                <a:solidFill>
                  <a:schemeClr val="bg1"/>
                </a:solidFill>
                <a:latin typeface="Arial"/>
                <a:cs typeface="Arial"/>
              </a:rPr>
              <a:t>atm</a:t>
            </a:r>
          </a:p>
        </xdr:txBody>
      </xdr:sp>
      <xdr:sp macro="" textlink="">
        <xdr:nvSpPr>
          <xdr:cNvPr id="76" name="Text Box 10">
            <a:extLst>
              <a:ext uri="{FF2B5EF4-FFF2-40B4-BE49-F238E27FC236}">
                <a16:creationId xmlns:a16="http://schemas.microsoft.com/office/drawing/2014/main" id="{00000000-0008-0000-0A00-00004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877052" y="2590800"/>
            <a:ext cx="797333" cy="247650"/>
          </a:xfrm>
          <a:prstGeom prst="rect">
            <a:avLst/>
          </a:prstGeom>
          <a:solidFill>
            <a:schemeClr val="bg2">
              <a:lumMod val="50000"/>
            </a:scheme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1200" b="1" i="0" u="none" strike="noStrike" baseline="0">
                <a:solidFill>
                  <a:schemeClr val="bg1"/>
                </a:solidFill>
                <a:latin typeface="Arial"/>
                <a:cs typeface="Arial"/>
              </a:rPr>
              <a:t>m.c.a.</a:t>
            </a:r>
          </a:p>
        </xdr:txBody>
      </xdr:sp>
      <xdr:sp macro="" textlink="">
        <xdr:nvSpPr>
          <xdr:cNvPr id="77" name="Text Box 11">
            <a:extLst>
              <a:ext uri="{FF2B5EF4-FFF2-40B4-BE49-F238E27FC236}">
                <a16:creationId xmlns:a16="http://schemas.microsoft.com/office/drawing/2014/main" id="{00000000-0008-0000-0A00-00004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063759" y="2590800"/>
            <a:ext cx="797948" cy="247650"/>
          </a:xfrm>
          <a:prstGeom prst="rect">
            <a:avLst/>
          </a:prstGeom>
          <a:solidFill>
            <a:schemeClr val="bg2">
              <a:lumMod val="50000"/>
            </a:scheme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1100" b="1" i="0" u="none" strike="noStrike" baseline="0">
                <a:solidFill>
                  <a:schemeClr val="bg1"/>
                </a:solidFill>
                <a:latin typeface="Arial"/>
                <a:cs typeface="Arial"/>
              </a:rPr>
              <a:t>kgf/cm</a:t>
            </a:r>
            <a:r>
              <a:rPr lang="pt-PT" sz="1100" b="1" i="0" u="none" strike="noStrike" baseline="30000">
                <a:solidFill>
                  <a:schemeClr val="bg1"/>
                </a:solidFill>
                <a:latin typeface="Arial"/>
                <a:cs typeface="Arial"/>
              </a:rPr>
              <a:t>2</a:t>
            </a:r>
          </a:p>
        </xdr:txBody>
      </xdr:sp>
      <xdr:sp macro="" textlink="">
        <xdr:nvSpPr>
          <xdr:cNvPr id="78" name="Text Box 12">
            <a:extLst>
              <a:ext uri="{FF2B5EF4-FFF2-40B4-BE49-F238E27FC236}">
                <a16:creationId xmlns:a16="http://schemas.microsoft.com/office/drawing/2014/main" id="{00000000-0008-0000-0A00-00004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228827" y="2590800"/>
            <a:ext cx="814473" cy="247650"/>
          </a:xfrm>
          <a:prstGeom prst="rect">
            <a:avLst/>
          </a:prstGeom>
          <a:solidFill>
            <a:schemeClr val="bg2">
              <a:lumMod val="50000"/>
            </a:scheme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1200" b="1" i="0" u="none" strike="noStrike" baseline="0">
                <a:solidFill>
                  <a:schemeClr val="bg1"/>
                </a:solidFill>
                <a:latin typeface="Arial"/>
                <a:cs typeface="Arial"/>
              </a:rPr>
              <a:t>bar</a:t>
            </a:r>
          </a:p>
        </xdr:txBody>
      </xdr:sp>
      <xdr:sp macro="" textlink="">
        <xdr:nvSpPr>
          <xdr:cNvPr id="79" name="Text Box 13">
            <a:extLst>
              <a:ext uri="{FF2B5EF4-FFF2-40B4-BE49-F238E27FC236}">
                <a16:creationId xmlns:a16="http://schemas.microsoft.com/office/drawing/2014/main" id="{00000000-0008-0000-0A00-00004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429500" y="2590800"/>
            <a:ext cx="780295" cy="247650"/>
          </a:xfrm>
          <a:prstGeom prst="rect">
            <a:avLst/>
          </a:prstGeom>
          <a:solidFill>
            <a:schemeClr val="bg2">
              <a:lumMod val="50000"/>
            </a:scheme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1200" b="1" i="0" u="none" strike="noStrike" baseline="0">
                <a:solidFill>
                  <a:schemeClr val="bg1"/>
                </a:solidFill>
                <a:latin typeface="Arial"/>
                <a:cs typeface="Arial"/>
              </a:rPr>
              <a:t>kPa</a:t>
            </a:r>
          </a:p>
        </xdr:txBody>
      </xdr:sp>
    </xdr:grpSp>
    <xdr:clientData/>
  </xdr:twoCellAnchor>
  <xdr:twoCellAnchor editAs="absolute">
    <xdr:from>
      <xdr:col>2</xdr:col>
      <xdr:colOff>28575</xdr:colOff>
      <xdr:row>22</xdr:row>
      <xdr:rowOff>174171</xdr:rowOff>
    </xdr:from>
    <xdr:to>
      <xdr:col>3</xdr:col>
      <xdr:colOff>247650</xdr:colOff>
      <xdr:row>28</xdr:row>
      <xdr:rowOff>281667</xdr:rowOff>
    </xdr:to>
    <xdr:grpSp>
      <xdr:nvGrpSpPr>
        <xdr:cNvPr id="6731477" name="Grupo 93">
          <a:extLst>
            <a:ext uri="{FF2B5EF4-FFF2-40B4-BE49-F238E27FC236}">
              <a16:creationId xmlns:a16="http://schemas.microsoft.com/office/drawing/2014/main" id="{00000000-0008-0000-0A00-0000D5B66600}"/>
            </a:ext>
          </a:extLst>
        </xdr:cNvPr>
        <xdr:cNvGrpSpPr>
          <a:grpSpLocks/>
        </xdr:cNvGrpSpPr>
      </xdr:nvGrpSpPr>
      <xdr:grpSpPr bwMode="auto">
        <a:xfrm>
          <a:off x="1616900" y="4048496"/>
          <a:ext cx="857374" cy="1700768"/>
          <a:chOff x="8858250" y="2105025"/>
          <a:chExt cx="823500" cy="1666875"/>
        </a:xfrm>
      </xdr:grpSpPr>
      <xdr:grpSp>
        <xdr:nvGrpSpPr>
          <xdr:cNvPr id="6731478" name="Grupo 86">
            <a:extLst>
              <a:ext uri="{FF2B5EF4-FFF2-40B4-BE49-F238E27FC236}">
                <a16:creationId xmlns:a16="http://schemas.microsoft.com/office/drawing/2014/main" id="{00000000-0008-0000-0A00-0000D6B66600}"/>
              </a:ext>
            </a:extLst>
          </xdr:cNvPr>
          <xdr:cNvGrpSpPr>
            <a:grpSpLocks/>
          </xdr:cNvGrpSpPr>
        </xdr:nvGrpSpPr>
        <xdr:grpSpPr bwMode="auto">
          <a:xfrm>
            <a:off x="8858250" y="2105025"/>
            <a:ext cx="612000" cy="1666875"/>
            <a:chOff x="8858250" y="2105025"/>
            <a:chExt cx="612000" cy="1666875"/>
          </a:xfrm>
        </xdr:grpSpPr>
        <xdr:sp macro="" textlink="">
          <xdr:nvSpPr>
            <xdr:cNvPr id="81" name="Text Box 21">
              <a:extLst>
                <a:ext uri="{FF2B5EF4-FFF2-40B4-BE49-F238E27FC236}">
                  <a16:creationId xmlns:a16="http://schemas.microsoft.com/office/drawing/2014/main" id="{00000000-0008-0000-0A00-00005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858250" y="2105025"/>
              <a:ext cx="612837" cy="247650"/>
            </a:xfrm>
            <a:prstGeom prst="rect">
              <a:avLst/>
            </a:prstGeom>
            <a:solidFill>
              <a:schemeClr val="bg2">
                <a:lumMod val="50000"/>
              </a:schemeClr>
            </a:solidFill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wrap="square" lIns="18000" tIns="18000" rIns="18000" bIns="18000" anchor="ctr" upright="1"/>
            <a:lstStyle/>
            <a:p>
              <a:pPr algn="ctr" rtl="0">
                <a:defRPr sz="1000"/>
              </a:pPr>
              <a:r>
                <a:rPr lang="pt-PT" sz="1200" b="1" i="0" u="none" strike="noStrike" baseline="0">
                  <a:solidFill>
                    <a:schemeClr val="bg1"/>
                  </a:solidFill>
                  <a:latin typeface="Arial"/>
                  <a:cs typeface="Arial"/>
                </a:rPr>
                <a:t>kPa</a:t>
              </a:r>
            </a:p>
          </xdr:txBody>
        </xdr:sp>
        <xdr:sp macro="" textlink="">
          <xdr:nvSpPr>
            <xdr:cNvPr id="82" name="Text Box 29">
              <a:extLst>
                <a:ext uri="{FF2B5EF4-FFF2-40B4-BE49-F238E27FC236}">
                  <a16:creationId xmlns:a16="http://schemas.microsoft.com/office/drawing/2014/main" id="{00000000-0008-0000-0A00-00005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858250" y="2390775"/>
              <a:ext cx="612837" cy="247650"/>
            </a:xfrm>
            <a:prstGeom prst="rect">
              <a:avLst/>
            </a:prstGeom>
            <a:solidFill>
              <a:schemeClr val="bg2">
                <a:lumMod val="50000"/>
              </a:schemeClr>
            </a:solidFill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wrap="square" lIns="18000" tIns="18000" rIns="18000" bIns="18000" anchor="ctr" upright="1"/>
            <a:lstStyle/>
            <a:p>
              <a:pPr algn="ctr" rtl="0">
                <a:defRPr sz="1000"/>
              </a:pPr>
              <a:r>
                <a:rPr lang="pt-PT" sz="1200" b="1" i="0" u="none" strike="noStrike" baseline="0">
                  <a:solidFill>
                    <a:schemeClr val="bg1"/>
                  </a:solidFill>
                  <a:latin typeface="Arial"/>
                  <a:cs typeface="Arial"/>
                </a:rPr>
                <a:t>bar</a:t>
              </a:r>
            </a:p>
          </xdr:txBody>
        </xdr:sp>
        <xdr:sp macro="" textlink="">
          <xdr:nvSpPr>
            <xdr:cNvPr id="83" name="Text Box 37">
              <a:extLst>
                <a:ext uri="{FF2B5EF4-FFF2-40B4-BE49-F238E27FC236}">
                  <a16:creationId xmlns:a16="http://schemas.microsoft.com/office/drawing/2014/main" id="{00000000-0008-0000-0A00-00005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858250" y="2676525"/>
              <a:ext cx="612837" cy="247650"/>
            </a:xfrm>
            <a:prstGeom prst="rect">
              <a:avLst/>
            </a:prstGeom>
            <a:solidFill>
              <a:schemeClr val="bg2">
                <a:lumMod val="50000"/>
              </a:schemeClr>
            </a:solidFill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wrap="square" lIns="18000" tIns="18000" rIns="18000" bIns="18000" anchor="ctr" upright="1"/>
            <a:lstStyle/>
            <a:p>
              <a:pPr algn="ctr" rtl="0">
                <a:defRPr sz="1000"/>
              </a:pPr>
              <a:r>
                <a:rPr lang="pt-PT" sz="1100" b="1" i="0" u="none" strike="noStrike" baseline="0">
                  <a:solidFill>
                    <a:schemeClr val="bg1"/>
                  </a:solidFill>
                  <a:latin typeface="Arial"/>
                  <a:cs typeface="Arial"/>
                </a:rPr>
                <a:t>kgf/cm</a:t>
              </a:r>
              <a:r>
                <a:rPr lang="pt-PT" sz="1100" b="1" i="0" u="none" strike="noStrike" baseline="30000">
                  <a:solidFill>
                    <a:schemeClr val="bg1"/>
                  </a:solidFill>
                  <a:latin typeface="Arial"/>
                  <a:cs typeface="Arial"/>
                </a:rPr>
                <a:t>2</a:t>
              </a:r>
            </a:p>
          </xdr:txBody>
        </xdr:sp>
        <xdr:sp macro="" textlink="">
          <xdr:nvSpPr>
            <xdr:cNvPr id="84" name="Text Box 45">
              <a:extLst>
                <a:ext uri="{FF2B5EF4-FFF2-40B4-BE49-F238E27FC236}">
                  <a16:creationId xmlns:a16="http://schemas.microsoft.com/office/drawing/2014/main" id="{00000000-0008-0000-0A00-00005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858250" y="2962275"/>
              <a:ext cx="612837" cy="247650"/>
            </a:xfrm>
            <a:prstGeom prst="rect">
              <a:avLst/>
            </a:prstGeom>
            <a:solidFill>
              <a:schemeClr val="bg2">
                <a:lumMod val="50000"/>
              </a:schemeClr>
            </a:solidFill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wrap="square" lIns="18000" tIns="18000" rIns="18000" bIns="18000" anchor="ctr" upright="1"/>
            <a:lstStyle/>
            <a:p>
              <a:pPr algn="ctr" rtl="0">
                <a:defRPr sz="1000"/>
              </a:pPr>
              <a:r>
                <a:rPr lang="pt-PT" sz="1200" b="1" i="0" u="none" strike="noStrike" baseline="0">
                  <a:solidFill>
                    <a:schemeClr val="bg1"/>
                  </a:solidFill>
                  <a:latin typeface="Arial"/>
                  <a:cs typeface="Arial"/>
                </a:rPr>
                <a:t>m.c.a.</a:t>
              </a:r>
            </a:p>
          </xdr:txBody>
        </xdr:sp>
        <xdr:sp macro="" textlink="">
          <xdr:nvSpPr>
            <xdr:cNvPr id="85" name="Text Box 53">
              <a:extLst>
                <a:ext uri="{FF2B5EF4-FFF2-40B4-BE49-F238E27FC236}">
                  <a16:creationId xmlns:a16="http://schemas.microsoft.com/office/drawing/2014/main" id="{00000000-0008-0000-0A00-000055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858250" y="3248025"/>
              <a:ext cx="612837" cy="247650"/>
            </a:xfrm>
            <a:prstGeom prst="rect">
              <a:avLst/>
            </a:prstGeom>
            <a:solidFill>
              <a:schemeClr val="bg2">
                <a:lumMod val="50000"/>
              </a:schemeClr>
            </a:solidFill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wrap="square" lIns="18000" tIns="18000" rIns="18000" bIns="18000" anchor="ctr" upright="1"/>
            <a:lstStyle/>
            <a:p>
              <a:pPr algn="ctr" rtl="0">
                <a:defRPr sz="1000"/>
              </a:pPr>
              <a:r>
                <a:rPr lang="pt-PT" sz="1200" b="1" i="0" u="none" strike="noStrike" baseline="0">
                  <a:solidFill>
                    <a:schemeClr val="bg1"/>
                  </a:solidFill>
                  <a:latin typeface="Arial"/>
                  <a:cs typeface="Arial"/>
                </a:rPr>
                <a:t>atm</a:t>
              </a:r>
            </a:p>
          </xdr:txBody>
        </xdr:sp>
        <xdr:sp macro="" textlink="">
          <xdr:nvSpPr>
            <xdr:cNvPr id="86" name="Text Box 61">
              <a:extLst>
                <a:ext uri="{FF2B5EF4-FFF2-40B4-BE49-F238E27FC236}">
                  <a16:creationId xmlns:a16="http://schemas.microsoft.com/office/drawing/2014/main" id="{00000000-0008-0000-0A00-00005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858250" y="3524250"/>
              <a:ext cx="612837" cy="247650"/>
            </a:xfrm>
            <a:prstGeom prst="rect">
              <a:avLst/>
            </a:prstGeom>
            <a:solidFill>
              <a:schemeClr val="bg2">
                <a:lumMod val="50000"/>
              </a:schemeClr>
            </a:solidFill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wrap="square" lIns="18000" tIns="18000" rIns="18000" bIns="18000" anchor="ctr" upright="1"/>
            <a:lstStyle/>
            <a:p>
              <a:pPr algn="ctr" rtl="0">
                <a:defRPr sz="1000"/>
              </a:pPr>
              <a:r>
                <a:rPr lang="pt-PT" sz="1200" b="1" i="0" u="none" strike="noStrike" baseline="0">
                  <a:solidFill>
                    <a:schemeClr val="bg1"/>
                  </a:solidFill>
                  <a:latin typeface="Arial"/>
                  <a:cs typeface="Arial"/>
                </a:rPr>
                <a:t>psi</a:t>
              </a:r>
            </a:p>
          </xdr:txBody>
        </xdr:sp>
      </xdr:grpSp>
      <xdr:sp macro="" textlink="">
        <xdr:nvSpPr>
          <xdr:cNvPr id="88" name="Text Box 21">
            <a:extLst>
              <a:ext uri="{FF2B5EF4-FFF2-40B4-BE49-F238E27FC236}">
                <a16:creationId xmlns:a16="http://schemas.microsoft.com/office/drawing/2014/main" id="{00000000-0008-0000-0A00-00005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32785" y="2105025"/>
            <a:ext cx="248965" cy="247650"/>
          </a:xfrm>
          <a:prstGeom prst="rect">
            <a:avLst/>
          </a:prstGeom>
          <a:solidFill>
            <a:schemeClr val="bg2">
              <a:lumMod val="50000"/>
            </a:scheme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1200" b="0" i="0" u="none" strike="noStrike" baseline="0">
                <a:solidFill>
                  <a:schemeClr val="bg1"/>
                </a:solidFill>
                <a:latin typeface="Arial"/>
                <a:cs typeface="Arial"/>
              </a:rPr>
              <a:t>=&gt;</a:t>
            </a:r>
          </a:p>
        </xdr:txBody>
      </xdr:sp>
      <xdr:sp macro="" textlink="">
        <xdr:nvSpPr>
          <xdr:cNvPr id="89" name="Text Box 29">
            <a:extLst>
              <a:ext uri="{FF2B5EF4-FFF2-40B4-BE49-F238E27FC236}">
                <a16:creationId xmlns:a16="http://schemas.microsoft.com/office/drawing/2014/main" id="{00000000-0008-0000-0A00-00005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32785" y="2390775"/>
            <a:ext cx="248965" cy="247650"/>
          </a:xfrm>
          <a:prstGeom prst="rect">
            <a:avLst/>
          </a:prstGeom>
          <a:solidFill>
            <a:schemeClr val="bg2">
              <a:lumMod val="50000"/>
            </a:scheme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/>
            <a:r>
              <a:rPr lang="pt-PT" sz="1100" b="0" i="0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=&gt;</a:t>
            </a:r>
            <a:endParaRPr lang="pt-PT" sz="1200">
              <a:solidFill>
                <a:schemeClr val="bg1"/>
              </a:solidFill>
            </a:endParaRPr>
          </a:p>
        </xdr:txBody>
      </xdr:sp>
      <xdr:sp macro="" textlink="">
        <xdr:nvSpPr>
          <xdr:cNvPr id="90" name="Text Box 37">
            <a:extLst>
              <a:ext uri="{FF2B5EF4-FFF2-40B4-BE49-F238E27FC236}">
                <a16:creationId xmlns:a16="http://schemas.microsoft.com/office/drawing/2014/main" id="{00000000-0008-0000-0A00-00005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32785" y="2676525"/>
            <a:ext cx="248965" cy="247650"/>
          </a:xfrm>
          <a:prstGeom prst="rect">
            <a:avLst/>
          </a:prstGeom>
          <a:solidFill>
            <a:schemeClr val="bg2">
              <a:lumMod val="50000"/>
            </a:scheme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/>
            <a:r>
              <a:rPr lang="pt-PT" sz="1100" b="0" i="0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=&gt;</a:t>
            </a:r>
            <a:endParaRPr lang="pt-PT">
              <a:solidFill>
                <a:schemeClr val="bg1"/>
              </a:solidFill>
            </a:endParaRPr>
          </a:p>
        </xdr:txBody>
      </xdr:sp>
      <xdr:sp macro="" textlink="">
        <xdr:nvSpPr>
          <xdr:cNvPr id="91" name="Text Box 45">
            <a:extLst>
              <a:ext uri="{FF2B5EF4-FFF2-40B4-BE49-F238E27FC236}">
                <a16:creationId xmlns:a16="http://schemas.microsoft.com/office/drawing/2014/main" id="{00000000-0008-0000-0A00-00005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32785" y="2962275"/>
            <a:ext cx="248965" cy="247650"/>
          </a:xfrm>
          <a:prstGeom prst="rect">
            <a:avLst/>
          </a:prstGeom>
          <a:solidFill>
            <a:schemeClr val="bg2">
              <a:lumMod val="50000"/>
            </a:scheme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/>
            <a:r>
              <a:rPr lang="pt-PT" sz="1100" b="0" i="0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=&gt;</a:t>
            </a:r>
            <a:endParaRPr lang="pt-PT" sz="1200">
              <a:solidFill>
                <a:schemeClr val="bg1"/>
              </a:solidFill>
            </a:endParaRPr>
          </a:p>
        </xdr:txBody>
      </xdr:sp>
      <xdr:sp macro="" textlink="">
        <xdr:nvSpPr>
          <xdr:cNvPr id="92" name="Text Box 53">
            <a:extLst>
              <a:ext uri="{FF2B5EF4-FFF2-40B4-BE49-F238E27FC236}">
                <a16:creationId xmlns:a16="http://schemas.microsoft.com/office/drawing/2014/main" id="{00000000-0008-0000-0A00-00005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32785" y="3248025"/>
            <a:ext cx="248965" cy="247650"/>
          </a:xfrm>
          <a:prstGeom prst="rect">
            <a:avLst/>
          </a:prstGeom>
          <a:solidFill>
            <a:schemeClr val="bg2">
              <a:lumMod val="50000"/>
            </a:scheme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/>
            <a:r>
              <a:rPr lang="pt-PT" sz="1100" b="0" i="0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=&gt;</a:t>
            </a:r>
            <a:endParaRPr lang="pt-PT" sz="1200">
              <a:solidFill>
                <a:schemeClr val="bg1"/>
              </a:solidFill>
            </a:endParaRPr>
          </a:p>
        </xdr:txBody>
      </xdr:sp>
      <xdr:sp macro="" textlink="">
        <xdr:nvSpPr>
          <xdr:cNvPr id="93" name="Text Box 61">
            <a:extLst>
              <a:ext uri="{FF2B5EF4-FFF2-40B4-BE49-F238E27FC236}">
                <a16:creationId xmlns:a16="http://schemas.microsoft.com/office/drawing/2014/main" id="{00000000-0008-0000-0A00-00005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32785" y="3524250"/>
            <a:ext cx="248965" cy="247650"/>
          </a:xfrm>
          <a:prstGeom prst="rect">
            <a:avLst/>
          </a:prstGeom>
          <a:solidFill>
            <a:schemeClr val="bg2">
              <a:lumMod val="50000"/>
            </a:scheme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/>
            <a:r>
              <a:rPr lang="pt-PT" sz="1100" b="0" i="0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=&gt;</a:t>
            </a:r>
            <a:endParaRPr lang="pt-PT" sz="12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381001</xdr:colOff>
      <xdr:row>0</xdr:row>
      <xdr:rowOff>152400</xdr:rowOff>
    </xdr:from>
    <xdr:to>
      <xdr:col>9</xdr:col>
      <xdr:colOff>762000</xdr:colOff>
      <xdr:row>0</xdr:row>
      <xdr:rowOff>428307</xdr:rowOff>
    </xdr:to>
    <xdr:sp macro="" textlink="">
      <xdr:nvSpPr>
        <xdr:cNvPr id="95" name="Retângulo: Cantos Arredondados 94">
          <a:extLst>
            <a:ext uri="{FF2B5EF4-FFF2-40B4-BE49-F238E27FC236}">
              <a16:creationId xmlns:a16="http://schemas.microsoft.com/office/drawing/2014/main" id="{00000000-0008-0000-0A00-00005F000000}"/>
            </a:ext>
          </a:extLst>
        </xdr:cNvPr>
        <xdr:cNvSpPr/>
      </xdr:nvSpPr>
      <xdr:spPr bwMode="auto">
        <a:xfrm>
          <a:off x="381001" y="152400"/>
          <a:ext cx="6849340" cy="275907"/>
        </a:xfrm>
        <a:prstGeom prst="roundRect">
          <a:avLst/>
        </a:prstGeom>
        <a:gradFill flip="none" rotWithShape="1">
          <a:gsLst>
            <a:gs pos="0">
              <a:schemeClr val="accent2">
                <a:lumMod val="50000"/>
              </a:schemeClr>
            </a:gs>
            <a:gs pos="12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5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pt-PT" sz="14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Dimensionamento de Sistema de Extinção Automática </a:t>
          </a:r>
          <a:r>
            <a:rPr lang="pt-PT" sz="12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(Rede de Sprinklers Tipo Húmida)</a:t>
          </a:r>
          <a:endParaRPr lang="pt-PT" sz="120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424752</xdr:colOff>
      <xdr:row>35</xdr:row>
      <xdr:rowOff>97325</xdr:rowOff>
    </xdr:from>
    <xdr:ext cx="3468568" cy="1458424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7549452" y="5964725"/>
          <a:ext cx="3468568" cy="1458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lang="pt-PT" sz="1000" b="1"/>
            <a:t>Requisitos aplicáveis</a:t>
          </a:r>
          <a:r>
            <a:rPr lang="pt-PT" sz="1000" b="1" baseline="0"/>
            <a:t> à fonte de pressão:</a:t>
          </a:r>
        </a:p>
        <a:p>
          <a:pPr marL="228600" lvl="0" indent="-228600">
            <a:buFont typeface="+mj-lt"/>
            <a:buAutoNum type="arabicPeriod"/>
          </a:pPr>
          <a:r>
            <a:rPr lang="pt-PT" sz="1000" baseline="0"/>
            <a:t>Mínimo de 100% da necessidade de pressão  (P</a:t>
          </a:r>
          <a:r>
            <a:rPr lang="pt-PT" sz="1000" baseline="-25000"/>
            <a:t>total</a:t>
          </a:r>
          <a:r>
            <a:rPr lang="pt-PT" sz="1000" baseline="0"/>
            <a:t>) para 100% da necessidade de caudal </a:t>
          </a:r>
          <a:r>
            <a:rPr lang="pt-PT" sz="10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(Q</a:t>
          </a:r>
          <a:r>
            <a:rPr lang="pt-PT" sz="10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máx.</a:t>
          </a:r>
          <a:r>
            <a:rPr lang="pt-PT" sz="10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). </a:t>
          </a:r>
        </a:p>
        <a:p>
          <a:pPr marL="228600" marR="0" lvl="0" indent="-2286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+mj-lt"/>
            <a:buAutoNum type="arabicPeriod"/>
            <a:tabLst/>
            <a:defRPr/>
          </a:pPr>
          <a:r>
            <a:rPr lang="pt-PT" sz="10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Mínimo de 70% da necessidade de pressão  (P</a:t>
          </a:r>
          <a:r>
            <a:rPr lang="pt-PT" sz="10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total</a:t>
          </a:r>
          <a:r>
            <a:rPr lang="pt-PT" sz="10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) para 140% da necessidade de caudal (Q</a:t>
          </a:r>
          <a:r>
            <a:rPr lang="pt-PT" sz="10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máx.</a:t>
          </a:r>
          <a:r>
            <a:rPr lang="pt-PT" sz="10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). </a:t>
          </a:r>
        </a:p>
        <a:p>
          <a:pPr marL="228600" marR="0" lvl="0" indent="-2286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+mj-lt"/>
            <a:buAutoNum type="arabicPeriod"/>
            <a:tabLst/>
            <a:defRPr/>
          </a:pPr>
          <a:r>
            <a:rPr lang="pt-PT" sz="10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Máximo de 140% da necessidade de pressão  (P</a:t>
          </a:r>
          <a:r>
            <a:rPr lang="pt-PT" sz="10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total</a:t>
          </a:r>
          <a:r>
            <a:rPr lang="pt-PT" sz="10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) para 0% da necessidade de caudal (Q</a:t>
          </a:r>
          <a:r>
            <a:rPr lang="pt-PT" sz="10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máx.</a:t>
          </a:r>
          <a:r>
            <a:rPr lang="pt-PT" sz="10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).</a:t>
          </a:r>
        </a:p>
        <a:p>
          <a:pPr marL="228600" marR="0" lvl="0" indent="-2286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+mj-lt"/>
            <a:buAutoNum type="arabicPeriod"/>
            <a:tabLst/>
            <a:defRPr/>
          </a:pPr>
          <a:r>
            <a:rPr lang="pt-PT" sz="10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Se a bomba trabalhar  em aspiração negativa, recomenda-se a implementação de um sistema automático de ferragem. </a:t>
          </a:r>
          <a:endParaRPr lang="pt-PT" sz="1000">
            <a:effectLst/>
          </a:endParaRPr>
        </a:p>
        <a:p>
          <a:pPr marL="228600" lvl="0" indent="-228600">
            <a:buFont typeface="+mj-lt"/>
            <a:buAutoNum type="arabicPeriod"/>
          </a:pPr>
          <a:endParaRPr lang="pt-PT" sz="1100"/>
        </a:p>
      </xdr:txBody>
    </xdr:sp>
    <xdr:clientData/>
  </xdr:oneCellAnchor>
  <xdr:twoCellAnchor editAs="oneCell">
    <xdr:from>
      <xdr:col>2</xdr:col>
      <xdr:colOff>36634</xdr:colOff>
      <xdr:row>4</xdr:row>
      <xdr:rowOff>65942</xdr:rowOff>
    </xdr:from>
    <xdr:to>
      <xdr:col>6</xdr:col>
      <xdr:colOff>341883</xdr:colOff>
      <xdr:row>10</xdr:row>
      <xdr:rowOff>123824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484" y="675542"/>
          <a:ext cx="2510287" cy="1096108"/>
        </a:xfrm>
        <a:prstGeom prst="rect">
          <a:avLst/>
        </a:prstGeom>
      </xdr:spPr>
    </xdr:pic>
    <xdr:clientData/>
  </xdr:twoCellAnchor>
  <xdr:twoCellAnchor editAs="oneCell">
    <xdr:from>
      <xdr:col>8</xdr:col>
      <xdr:colOff>10855</xdr:colOff>
      <xdr:row>32</xdr:row>
      <xdr:rowOff>84654</xdr:rowOff>
    </xdr:from>
    <xdr:to>
      <xdr:col>15</xdr:col>
      <xdr:colOff>382484</xdr:colOff>
      <xdr:row>41</xdr:row>
      <xdr:rowOff>180976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5580" y="5361504"/>
          <a:ext cx="3948267" cy="1887021"/>
        </a:xfrm>
        <a:prstGeom prst="rect">
          <a:avLst/>
        </a:prstGeom>
      </xdr:spPr>
    </xdr:pic>
    <xdr:clientData/>
  </xdr:twoCellAnchor>
  <xdr:oneCellAnchor>
    <xdr:from>
      <xdr:col>16</xdr:col>
      <xdr:colOff>123584</xdr:colOff>
      <xdr:row>33</xdr:row>
      <xdr:rowOff>162198</xdr:rowOff>
    </xdr:from>
    <xdr:ext cx="717864" cy="291322"/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514984" y="5639073"/>
          <a:ext cx="717864" cy="2913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PT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</a:t>
          </a:r>
          <a:r>
            <a:rPr lang="pt-PT" sz="1100" baseline="-25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eq.local </a:t>
          </a:r>
          <a:r>
            <a:rPr lang="pt-PT" sz="10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= </a:t>
          </a:r>
          <a:endParaRPr lang="pt-PT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228600" lvl="0" indent="-228600">
            <a:buFont typeface="+mj-lt"/>
            <a:buAutoNum type="arabicPeriod"/>
          </a:pPr>
          <a:endParaRPr lang="pt-PT" sz="1100"/>
        </a:p>
      </xdr:txBody>
    </xdr:sp>
    <xdr:clientData/>
  </xdr:oneCellAnchor>
  <xdr:twoCellAnchor>
    <xdr:from>
      <xdr:col>0</xdr:col>
      <xdr:colOff>64899</xdr:colOff>
      <xdr:row>87</xdr:row>
      <xdr:rowOff>76776</xdr:rowOff>
    </xdr:from>
    <xdr:to>
      <xdr:col>20</xdr:col>
      <xdr:colOff>1408419</xdr:colOff>
      <xdr:row>144</xdr:row>
      <xdr:rowOff>69273</xdr:rowOff>
    </xdr:to>
    <xdr:sp macro="" textlink="">
      <xdr:nvSpPr>
        <xdr:cNvPr id="16" name="Rectângulo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 bwMode="auto">
        <a:xfrm>
          <a:off x="64899" y="15896935"/>
          <a:ext cx="10565452" cy="1126663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vert="vert270" wrap="square" lIns="18288" tIns="0" rIns="0" bIns="0" rtlCol="0" anchor="t" upright="1"/>
        <a:lstStyle/>
        <a:p>
          <a:pPr algn="l"/>
          <a:endParaRPr lang="pt-PT" sz="1100"/>
        </a:p>
      </xdr:txBody>
    </xdr:sp>
    <xdr:clientData/>
  </xdr:twoCellAnchor>
  <xdr:twoCellAnchor>
    <xdr:from>
      <xdr:col>20</xdr:col>
      <xdr:colOff>28575</xdr:colOff>
      <xdr:row>42</xdr:row>
      <xdr:rowOff>152400</xdr:rowOff>
    </xdr:from>
    <xdr:to>
      <xdr:col>20</xdr:col>
      <xdr:colOff>1266825</xdr:colOff>
      <xdr:row>44</xdr:row>
      <xdr:rowOff>85725</xdr:rowOff>
    </xdr:to>
    <xdr:grpSp>
      <xdr:nvGrpSpPr>
        <xdr:cNvPr id="17" name="Group 32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pSpPr>
          <a:grpSpLocks/>
        </xdr:cNvGrpSpPr>
      </xdr:nvGrpSpPr>
      <xdr:grpSpPr bwMode="auto">
        <a:xfrm>
          <a:off x="9805926" y="7262751"/>
          <a:ext cx="1238250" cy="269792"/>
          <a:chOff x="960" y="803"/>
          <a:chExt cx="130" cy="29"/>
        </a:xfrm>
      </xdr:grpSpPr>
      <xdr:sp macro="" textlink="">
        <xdr:nvSpPr>
          <xdr:cNvPr id="18" name="Text Box 21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93" y="803"/>
            <a:ext cx="97" cy="29"/>
          </a:xfrm>
          <a:prstGeom prst="rect">
            <a:avLst/>
          </a:prstGeom>
          <a:solidFill>
            <a:srgbClr val="969696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72000" tIns="46800" rIns="90000" bIns="46800" anchor="ctr" upright="1"/>
          <a:lstStyle/>
          <a:p>
            <a:pPr algn="l" rtl="0">
              <a:defRPr sz="1000"/>
            </a:pP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Pág.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 </a:t>
            </a: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de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</a:t>
            </a:r>
          </a:p>
        </xdr:txBody>
      </xdr:sp>
      <xdr:sp macro="" textlink="">
        <xdr:nvSpPr>
          <xdr:cNvPr id="19" name="Line 22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>
            <a:spLocks noChangeShapeType="1"/>
          </xdr:cNvSpPr>
        </xdr:nvSpPr>
        <xdr:spPr bwMode="auto">
          <a:xfrm>
            <a:off x="987" y="803"/>
            <a:ext cx="0" cy="29"/>
          </a:xfrm>
          <a:prstGeom prst="line">
            <a:avLst/>
          </a:prstGeom>
          <a:noFill/>
          <a:ln w="57150">
            <a:solidFill>
              <a:srgbClr val="969696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Line 23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>
            <a:spLocks noChangeShapeType="1"/>
          </xdr:cNvSpPr>
        </xdr:nvSpPr>
        <xdr:spPr bwMode="auto">
          <a:xfrm>
            <a:off x="978" y="803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4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>
            <a:spLocks noChangeShapeType="1"/>
          </xdr:cNvSpPr>
        </xdr:nvSpPr>
        <xdr:spPr bwMode="auto">
          <a:xfrm>
            <a:off x="969" y="803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" name="Line 25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>
            <a:spLocks noChangeShapeType="1"/>
          </xdr:cNvSpPr>
        </xdr:nvSpPr>
        <xdr:spPr bwMode="auto">
          <a:xfrm>
            <a:off x="960" y="803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10886</xdr:colOff>
      <xdr:row>0</xdr:row>
      <xdr:rowOff>54428</xdr:rowOff>
    </xdr:from>
    <xdr:to>
      <xdr:col>15</xdr:col>
      <xdr:colOff>389658</xdr:colOff>
      <xdr:row>2</xdr:row>
      <xdr:rowOff>14649</xdr:rowOff>
    </xdr:to>
    <xdr:sp macro="" textlink="">
      <xdr:nvSpPr>
        <xdr:cNvPr id="23" name="Retângulo: Cantos Arredondados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 bwMode="auto">
        <a:xfrm>
          <a:off x="348591" y="54428"/>
          <a:ext cx="7124203" cy="289266"/>
        </a:xfrm>
        <a:prstGeom prst="roundRect">
          <a:avLst/>
        </a:prstGeom>
        <a:gradFill flip="none" rotWithShape="1">
          <a:gsLst>
            <a:gs pos="0">
              <a:schemeClr val="accent2">
                <a:lumMod val="50000"/>
              </a:schemeClr>
            </a:gs>
            <a:gs pos="46000">
              <a:schemeClr val="accent2">
                <a:lumMod val="89000"/>
              </a:schemeClr>
            </a:gs>
            <a:gs pos="59000">
              <a:schemeClr val="accent2">
                <a:lumMod val="75000"/>
              </a:schemeClr>
            </a:gs>
            <a:gs pos="97000">
              <a:schemeClr val="accent2">
                <a:lumMod val="50000"/>
              </a:schemeClr>
            </a:gs>
          </a:gsLst>
          <a:lin ang="16200000" scaled="1"/>
          <a:tileRect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pt-PT" sz="14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Dimensionamento de Sistema de Extinção Automática </a:t>
          </a:r>
          <a:r>
            <a:rPr lang="pt-PT" sz="12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(Rede de Sprinklers Tipo Húmida)</a:t>
          </a:r>
          <a:endParaRPr lang="pt-PT" sz="120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7</xdr:col>
      <xdr:colOff>122093</xdr:colOff>
      <xdr:row>3</xdr:row>
      <xdr:rowOff>93865</xdr:rowOff>
    </xdr:from>
    <xdr:to>
      <xdr:col>20</xdr:col>
      <xdr:colOff>1705841</xdr:colOff>
      <xdr:row>32</xdr:row>
      <xdr:rowOff>10822</xdr:rowOff>
    </xdr:to>
    <xdr:grpSp>
      <xdr:nvGrpSpPr>
        <xdr:cNvPr id="7" name="Agrupa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pSpPr/>
      </xdr:nvGrpSpPr>
      <xdr:grpSpPr>
        <a:xfrm>
          <a:off x="3308638" y="504553"/>
          <a:ext cx="8174554" cy="4652243"/>
          <a:chOff x="3287246" y="503680"/>
          <a:chExt cx="8316809" cy="4645840"/>
        </a:xfrm>
      </xdr:grpSpPr>
      <xdr:graphicFrame macro="">
        <xdr:nvGraphicFramePr>
          <xdr:cNvPr id="8" name="Gráfico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GraphicFramePr>
            <a:graphicFrameLocks/>
          </xdr:cNvGraphicFramePr>
        </xdr:nvGraphicFramePr>
        <xdr:xfrm>
          <a:off x="3287246" y="503680"/>
          <a:ext cx="8316809" cy="464584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cxnSp macro="">
        <xdr:nvCxnSpPr>
          <xdr:cNvPr id="3" name="Conexão reta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CxnSpPr/>
        </xdr:nvCxnSpPr>
        <xdr:spPr bwMode="auto">
          <a:xfrm>
            <a:off x="9568838" y="1790162"/>
            <a:ext cx="261306" cy="985"/>
          </a:xfrm>
          <a:prstGeom prst="line">
            <a:avLst/>
          </a:prstGeom>
          <a:solidFill>
            <a:srgbClr val="FFFFFF"/>
          </a:solidFill>
          <a:ln w="25400" cap="flat" cmpd="sng" algn="ctr">
            <a:solidFill>
              <a:schemeClr val="accent2">
                <a:lumMod val="50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5" name="Conexão reta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CxnSpPr/>
        </xdr:nvCxnSpPr>
        <xdr:spPr bwMode="auto">
          <a:xfrm>
            <a:off x="9579342" y="2345763"/>
            <a:ext cx="261306" cy="985"/>
          </a:xfrm>
          <a:prstGeom prst="line">
            <a:avLst/>
          </a:prstGeom>
          <a:solidFill>
            <a:srgbClr val="FFFFFF"/>
          </a:solidFill>
          <a:ln w="25400" cap="flat" cmpd="sng" algn="ctr">
            <a:solidFill>
              <a:schemeClr val="tx2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6" name="Conexão reta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CxnSpPr/>
        </xdr:nvCxnSpPr>
        <xdr:spPr bwMode="auto">
          <a:xfrm>
            <a:off x="9544885" y="3497299"/>
            <a:ext cx="261306" cy="985"/>
          </a:xfrm>
          <a:prstGeom prst="line">
            <a:avLst/>
          </a:prstGeom>
          <a:solidFill>
            <a:srgbClr val="FFFFFF"/>
          </a:solidFill>
          <a:ln w="25400" cap="flat" cmpd="sng" algn="ctr">
            <a:solidFill>
              <a:srgbClr val="00B05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</xdr:grpSp>
    <xdr:clientData/>
  </xdr:twoCellAnchor>
  <xdr:twoCellAnchor>
    <xdr:from>
      <xdr:col>20</xdr:col>
      <xdr:colOff>8232</xdr:colOff>
      <xdr:row>1</xdr:row>
      <xdr:rowOff>11504</xdr:rowOff>
    </xdr:from>
    <xdr:to>
      <xdr:col>20</xdr:col>
      <xdr:colOff>1702128</xdr:colOff>
      <xdr:row>5</xdr:row>
      <xdr:rowOff>23306</xdr:rowOff>
    </xdr:to>
    <xdr:grpSp>
      <xdr:nvGrpSpPr>
        <xdr:cNvPr id="24" name="Agrupar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pSpPr/>
      </xdr:nvGrpSpPr>
      <xdr:grpSpPr>
        <a:xfrm>
          <a:off x="9785583" y="95621"/>
          <a:ext cx="1693896" cy="744113"/>
          <a:chOff x="15881769" y="11053948"/>
          <a:chExt cx="1627097" cy="722416"/>
        </a:xfrm>
      </xdr:grpSpPr>
      <xdr:pic>
        <xdr:nvPicPr>
          <xdr:cNvPr id="25" name="Picture 5501" descr="Resize of logoapta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lum contras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375413" y="11053948"/>
            <a:ext cx="1133453" cy="6659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6" name="Text Box 55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81769" y="11430224"/>
            <a:ext cx="818260" cy="1976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info@apta.pt</a:t>
            </a:r>
          </a:p>
        </xdr:txBody>
      </xdr:sp>
      <xdr:sp macro="" textlink="">
        <xdr:nvSpPr>
          <xdr:cNvPr id="27" name="Text Box 551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918384" y="11603181"/>
            <a:ext cx="751603" cy="1731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www.apta.pt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333375</xdr:colOff>
      <xdr:row>8</xdr:row>
      <xdr:rowOff>47625</xdr:rowOff>
    </xdr:from>
    <xdr:to>
      <xdr:col>2</xdr:col>
      <xdr:colOff>552450</xdr:colOff>
      <xdr:row>20</xdr:row>
      <xdr:rowOff>0</xdr:rowOff>
    </xdr:to>
    <xdr:sp macro="" textlink="">
      <xdr:nvSpPr>
        <xdr:cNvPr id="10242" name="Text Box 2">
          <a:extLst>
            <a:ext uri="{FF2B5EF4-FFF2-40B4-BE49-F238E27FC236}">
              <a16:creationId xmlns:a16="http://schemas.microsoft.com/office/drawing/2014/main" id="{00000000-0008-0000-0200-000002280000}"/>
            </a:ext>
          </a:extLst>
        </xdr:cNvPr>
        <xdr:cNvSpPr txBox="1">
          <a:spLocks noChangeArrowheads="1"/>
        </xdr:cNvSpPr>
      </xdr:nvSpPr>
      <xdr:spPr bwMode="auto">
        <a:xfrm>
          <a:off x="561975" y="1562100"/>
          <a:ext cx="219075" cy="2124075"/>
        </a:xfrm>
        <a:prstGeom prst="rect">
          <a:avLst/>
        </a:prstGeom>
        <a:solidFill>
          <a:srgbClr val="8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pt-PT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Série Média (M) : EN 10255</a:t>
          </a:r>
        </a:p>
      </xdr:txBody>
    </xdr:sp>
    <xdr:clientData/>
  </xdr:twoCellAnchor>
  <xdr:twoCellAnchor>
    <xdr:from>
      <xdr:col>2</xdr:col>
      <xdr:colOff>323850</xdr:colOff>
      <xdr:row>20</xdr:row>
      <xdr:rowOff>57150</xdr:rowOff>
    </xdr:from>
    <xdr:to>
      <xdr:col>2</xdr:col>
      <xdr:colOff>552450</xdr:colOff>
      <xdr:row>26</xdr:row>
      <xdr:rowOff>57150</xdr:rowOff>
    </xdr:to>
    <xdr:sp macro="" textlink="">
      <xdr:nvSpPr>
        <xdr:cNvPr id="10244" name="Text Box 4">
          <a:extLst>
            <a:ext uri="{FF2B5EF4-FFF2-40B4-BE49-F238E27FC236}">
              <a16:creationId xmlns:a16="http://schemas.microsoft.com/office/drawing/2014/main" id="{00000000-0008-0000-0200-000004280000}"/>
            </a:ext>
          </a:extLst>
        </xdr:cNvPr>
        <xdr:cNvSpPr txBox="1">
          <a:spLocks noChangeArrowheads="1"/>
        </xdr:cNvSpPr>
      </xdr:nvSpPr>
      <xdr:spPr bwMode="auto">
        <a:xfrm>
          <a:off x="552450" y="3743325"/>
          <a:ext cx="228600" cy="1038225"/>
        </a:xfrm>
        <a:prstGeom prst="rect">
          <a:avLst/>
        </a:prstGeom>
        <a:solidFill>
          <a:srgbClr val="8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pt-PT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NP EN 10220</a:t>
          </a:r>
        </a:p>
      </xdr:txBody>
    </xdr:sp>
    <xdr:clientData/>
  </xdr:twoCellAnchor>
  <xdr:twoCellAnchor>
    <xdr:from>
      <xdr:col>18</xdr:col>
      <xdr:colOff>361953</xdr:colOff>
      <xdr:row>34</xdr:row>
      <xdr:rowOff>76200</xdr:rowOff>
    </xdr:from>
    <xdr:to>
      <xdr:col>22</xdr:col>
      <xdr:colOff>42186</xdr:colOff>
      <xdr:row>36</xdr:row>
      <xdr:rowOff>76200</xdr:rowOff>
    </xdr:to>
    <xdr:grpSp>
      <xdr:nvGrpSpPr>
        <xdr:cNvPr id="6612889" name="Group 32">
          <a:extLst>
            <a:ext uri="{FF2B5EF4-FFF2-40B4-BE49-F238E27FC236}">
              <a16:creationId xmlns:a16="http://schemas.microsoft.com/office/drawing/2014/main" id="{00000000-0008-0000-0200-000099E76400}"/>
            </a:ext>
          </a:extLst>
        </xdr:cNvPr>
        <xdr:cNvGrpSpPr>
          <a:grpSpLocks/>
        </xdr:cNvGrpSpPr>
      </xdr:nvGrpSpPr>
      <xdr:grpSpPr bwMode="auto">
        <a:xfrm>
          <a:off x="10338710" y="6340929"/>
          <a:ext cx="1307647" cy="272142"/>
          <a:chOff x="960" y="803"/>
          <a:chExt cx="130" cy="29"/>
        </a:xfrm>
      </xdr:grpSpPr>
      <xdr:sp macro="" textlink="">
        <xdr:nvSpPr>
          <xdr:cNvPr id="10261" name="Text Box 21">
            <a:extLst>
              <a:ext uri="{FF2B5EF4-FFF2-40B4-BE49-F238E27FC236}">
                <a16:creationId xmlns:a16="http://schemas.microsoft.com/office/drawing/2014/main" id="{00000000-0008-0000-0200-0000152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93" y="803"/>
            <a:ext cx="97" cy="29"/>
          </a:xfrm>
          <a:prstGeom prst="rect">
            <a:avLst/>
          </a:prstGeom>
          <a:solidFill>
            <a:srgbClr val="969696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72000" tIns="46800" rIns="90000" bIns="46800" anchor="ctr" upright="1"/>
          <a:lstStyle/>
          <a:p>
            <a:pPr algn="l" rtl="0">
              <a:defRPr sz="1000"/>
            </a:pP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Pág.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 </a:t>
            </a: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de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2</a:t>
            </a:r>
          </a:p>
        </xdr:txBody>
      </xdr:sp>
      <xdr:sp macro="" textlink="">
        <xdr:nvSpPr>
          <xdr:cNvPr id="6612900" name="Line 22">
            <a:extLst>
              <a:ext uri="{FF2B5EF4-FFF2-40B4-BE49-F238E27FC236}">
                <a16:creationId xmlns:a16="http://schemas.microsoft.com/office/drawing/2014/main" id="{00000000-0008-0000-0200-0000A4E76400}"/>
              </a:ext>
            </a:extLst>
          </xdr:cNvPr>
          <xdr:cNvSpPr>
            <a:spLocks noChangeShapeType="1"/>
          </xdr:cNvSpPr>
        </xdr:nvSpPr>
        <xdr:spPr bwMode="auto">
          <a:xfrm>
            <a:off x="987" y="803"/>
            <a:ext cx="0" cy="29"/>
          </a:xfrm>
          <a:prstGeom prst="line">
            <a:avLst/>
          </a:prstGeom>
          <a:noFill/>
          <a:ln w="57150">
            <a:solidFill>
              <a:srgbClr val="969696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12901" name="Line 23">
            <a:extLst>
              <a:ext uri="{FF2B5EF4-FFF2-40B4-BE49-F238E27FC236}">
                <a16:creationId xmlns:a16="http://schemas.microsoft.com/office/drawing/2014/main" id="{00000000-0008-0000-0200-0000A5E76400}"/>
              </a:ext>
            </a:extLst>
          </xdr:cNvPr>
          <xdr:cNvSpPr>
            <a:spLocks noChangeShapeType="1"/>
          </xdr:cNvSpPr>
        </xdr:nvSpPr>
        <xdr:spPr bwMode="auto">
          <a:xfrm>
            <a:off x="978" y="803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12902" name="Line 24">
            <a:extLst>
              <a:ext uri="{FF2B5EF4-FFF2-40B4-BE49-F238E27FC236}">
                <a16:creationId xmlns:a16="http://schemas.microsoft.com/office/drawing/2014/main" id="{00000000-0008-0000-0200-0000A6E76400}"/>
              </a:ext>
            </a:extLst>
          </xdr:cNvPr>
          <xdr:cNvSpPr>
            <a:spLocks noChangeShapeType="1"/>
          </xdr:cNvSpPr>
        </xdr:nvSpPr>
        <xdr:spPr bwMode="auto">
          <a:xfrm>
            <a:off x="969" y="803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12903" name="Line 25">
            <a:extLst>
              <a:ext uri="{FF2B5EF4-FFF2-40B4-BE49-F238E27FC236}">
                <a16:creationId xmlns:a16="http://schemas.microsoft.com/office/drawing/2014/main" id="{00000000-0008-0000-0200-0000A7E76400}"/>
              </a:ext>
            </a:extLst>
          </xdr:cNvPr>
          <xdr:cNvSpPr>
            <a:spLocks noChangeShapeType="1"/>
          </xdr:cNvSpPr>
        </xdr:nvSpPr>
        <xdr:spPr bwMode="auto">
          <a:xfrm>
            <a:off x="960" y="803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47625</xdr:colOff>
      <xdr:row>2</xdr:row>
      <xdr:rowOff>228600</xdr:rowOff>
    </xdr:from>
    <xdr:to>
      <xdr:col>15</xdr:col>
      <xdr:colOff>104775</xdr:colOff>
      <xdr:row>26</xdr:row>
      <xdr:rowOff>152400</xdr:rowOff>
    </xdr:to>
    <xdr:sp macro="" textlink="">
      <xdr:nvSpPr>
        <xdr:cNvPr id="6612890" name="Rectangle 29">
          <a:extLst>
            <a:ext uri="{FF2B5EF4-FFF2-40B4-BE49-F238E27FC236}">
              <a16:creationId xmlns:a16="http://schemas.microsoft.com/office/drawing/2014/main" id="{00000000-0008-0000-0200-00009AE76400}"/>
            </a:ext>
          </a:extLst>
        </xdr:cNvPr>
        <xdr:cNvSpPr>
          <a:spLocks noChangeArrowheads="1"/>
        </xdr:cNvSpPr>
      </xdr:nvSpPr>
      <xdr:spPr bwMode="auto">
        <a:xfrm>
          <a:off x="156483" y="559708"/>
          <a:ext cx="8198756" cy="422365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14</xdr:col>
      <xdr:colOff>124504</xdr:colOff>
      <xdr:row>5</xdr:row>
      <xdr:rowOff>8844</xdr:rowOff>
    </xdr:from>
    <xdr:to>
      <xdr:col>20</xdr:col>
      <xdr:colOff>207332</xdr:colOff>
      <xdr:row>13</xdr:row>
      <xdr:rowOff>21091</xdr:rowOff>
    </xdr:to>
    <xdr:pic>
      <xdr:nvPicPr>
        <xdr:cNvPr id="6612891" name="Picture 27" descr="RI-Sprinklers-Foto de Tubos">
          <a:extLst>
            <a:ext uri="{FF2B5EF4-FFF2-40B4-BE49-F238E27FC236}">
              <a16:creationId xmlns:a16="http://schemas.microsoft.com/office/drawing/2014/main" id="{00000000-0008-0000-0200-00009BE76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1371" y="967468"/>
          <a:ext cx="3141032" cy="1394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3</xdr:row>
      <xdr:rowOff>133350</xdr:rowOff>
    </xdr:from>
    <xdr:to>
      <xdr:col>14</xdr:col>
      <xdr:colOff>26533</xdr:colOff>
      <xdr:row>25</xdr:row>
      <xdr:rowOff>123825</xdr:rowOff>
    </xdr:to>
    <xdr:pic>
      <xdr:nvPicPr>
        <xdr:cNvPr id="6612894" name="Imagem 20" descr="RI-Sprinklers-Quadro 1- Gama Tubo 1 a 12 poleg EN 10255 2010.png">
          <a:extLst>
            <a:ext uri="{FF2B5EF4-FFF2-40B4-BE49-F238E27FC236}">
              <a16:creationId xmlns:a16="http://schemas.microsoft.com/office/drawing/2014/main" id="{00000000-0008-0000-0200-00009EE76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62000"/>
          <a:ext cx="7543800" cy="392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304800</xdr:colOff>
      <xdr:row>22</xdr:row>
      <xdr:rowOff>48986</xdr:rowOff>
    </xdr:from>
    <xdr:to>
      <xdr:col>18</xdr:col>
      <xdr:colOff>292100</xdr:colOff>
      <xdr:row>29</xdr:row>
      <xdr:rowOff>104775</xdr:rowOff>
    </xdr:to>
    <xdr:sp macro="" textlink="">
      <xdr:nvSpPr>
        <xdr:cNvPr id="17" name="Retângul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 bwMode="auto">
        <a:xfrm>
          <a:off x="6096000" y="4068536"/>
          <a:ext cx="3606800" cy="1608364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vert="vert270" wrap="square" lIns="18288" tIns="0" rIns="0" bIns="0" rtlCol="0" anchor="ctr" upright="1"/>
        <a:lstStyle/>
        <a:p>
          <a:pPr algn="l"/>
          <a:endParaRPr lang="pt-PT" sz="1100"/>
        </a:p>
      </xdr:txBody>
    </xdr:sp>
    <xdr:clientData/>
  </xdr:twoCellAnchor>
  <xdr:twoCellAnchor editAs="oneCell">
    <xdr:from>
      <xdr:col>12</xdr:col>
      <xdr:colOff>371475</xdr:colOff>
      <xdr:row>14</xdr:row>
      <xdr:rowOff>160562</xdr:rowOff>
    </xdr:from>
    <xdr:to>
      <xdr:col>22</xdr:col>
      <xdr:colOff>49404</xdr:colOff>
      <xdr:row>30</xdr:row>
      <xdr:rowOff>141513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2722787"/>
          <a:ext cx="4826192" cy="3152777"/>
        </a:xfrm>
        <a:prstGeom prst="rect">
          <a:avLst/>
        </a:prstGeom>
      </xdr:spPr>
    </xdr:pic>
    <xdr:clientData/>
  </xdr:twoCellAnchor>
  <xdr:twoCellAnchor>
    <xdr:from>
      <xdr:col>1</xdr:col>
      <xdr:colOff>103413</xdr:colOff>
      <xdr:row>1</xdr:row>
      <xdr:rowOff>38100</xdr:rowOff>
    </xdr:from>
    <xdr:to>
      <xdr:col>13</xdr:col>
      <xdr:colOff>638174</xdr:colOff>
      <xdr:row>2</xdr:row>
      <xdr:rowOff>74520</xdr:rowOff>
    </xdr:to>
    <xdr:sp macro="" textlink="">
      <xdr:nvSpPr>
        <xdr:cNvPr id="20" name="Retângulo: Cantos Arredondados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 bwMode="auto">
        <a:xfrm>
          <a:off x="208188" y="123825"/>
          <a:ext cx="7030811" cy="274545"/>
        </a:xfrm>
        <a:prstGeom prst="roundRect">
          <a:avLst/>
        </a:prstGeom>
        <a:gradFill flip="none" rotWithShape="1">
          <a:gsLst>
            <a:gs pos="0">
              <a:schemeClr val="accent2">
                <a:lumMod val="50000"/>
              </a:schemeClr>
            </a:gs>
            <a:gs pos="47000">
              <a:schemeClr val="accent2">
                <a:lumMod val="89000"/>
              </a:schemeClr>
            </a:gs>
            <a:gs pos="54000">
              <a:schemeClr val="accent2">
                <a:lumMod val="75000"/>
              </a:schemeClr>
            </a:gs>
            <a:gs pos="97000">
              <a:schemeClr val="accent2">
                <a:lumMod val="50000"/>
              </a:schemeClr>
            </a:gs>
          </a:gsLst>
          <a:lin ang="16200000" scaled="1"/>
          <a:tileRect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pt-PT" sz="14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Dimensionamento de Sistema de Extinção Automática </a:t>
          </a:r>
          <a:r>
            <a:rPr lang="pt-PT" sz="12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(Rede de Sprinklers Tipo Húmida)</a:t>
          </a:r>
          <a:endParaRPr lang="pt-PT" sz="120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18</xdr:col>
      <xdr:colOff>372837</xdr:colOff>
      <xdr:row>84</xdr:row>
      <xdr:rowOff>97972</xdr:rowOff>
    </xdr:from>
    <xdr:to>
      <xdr:col>22</xdr:col>
      <xdr:colOff>53070</xdr:colOff>
      <xdr:row>86</xdr:row>
      <xdr:rowOff>54429</xdr:rowOff>
    </xdr:to>
    <xdr:grpSp>
      <xdr:nvGrpSpPr>
        <xdr:cNvPr id="25" name="Group 32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pSpPr>
          <a:grpSpLocks/>
        </xdr:cNvGrpSpPr>
      </xdr:nvGrpSpPr>
      <xdr:grpSpPr bwMode="auto">
        <a:xfrm>
          <a:off x="10349594" y="13933715"/>
          <a:ext cx="1307647" cy="234043"/>
          <a:chOff x="960" y="803"/>
          <a:chExt cx="130" cy="29"/>
        </a:xfrm>
      </xdr:grpSpPr>
      <xdr:sp macro="" textlink="">
        <xdr:nvSpPr>
          <xdr:cNvPr id="26" name="Text Box 21">
            <a:extLst>
              <a:ext uri="{FF2B5EF4-FFF2-40B4-BE49-F238E27FC236}">
                <a16:creationId xmlns:a16="http://schemas.microsoft.com/office/drawing/2014/main" id="{00000000-0008-0000-0200-00001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93" y="803"/>
            <a:ext cx="97" cy="29"/>
          </a:xfrm>
          <a:prstGeom prst="rect">
            <a:avLst/>
          </a:prstGeom>
          <a:solidFill>
            <a:srgbClr val="969696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72000" tIns="46800" rIns="90000" bIns="46800" anchor="ctr" upright="1"/>
          <a:lstStyle/>
          <a:p>
            <a:pPr algn="l" rtl="0">
              <a:defRPr sz="1000"/>
            </a:pP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Pág.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2 </a:t>
            </a: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de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2</a:t>
            </a:r>
          </a:p>
        </xdr:txBody>
      </xdr:sp>
      <xdr:sp macro="" textlink="">
        <xdr:nvSpPr>
          <xdr:cNvPr id="27" name="Line 22"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SpPr>
            <a:spLocks noChangeShapeType="1"/>
          </xdr:cNvSpPr>
        </xdr:nvSpPr>
        <xdr:spPr bwMode="auto">
          <a:xfrm>
            <a:off x="987" y="803"/>
            <a:ext cx="0" cy="29"/>
          </a:xfrm>
          <a:prstGeom prst="line">
            <a:avLst/>
          </a:prstGeom>
          <a:noFill/>
          <a:ln w="57150">
            <a:solidFill>
              <a:srgbClr val="969696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" name="Line 23"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SpPr>
            <a:spLocks noChangeShapeType="1"/>
          </xdr:cNvSpPr>
        </xdr:nvSpPr>
        <xdr:spPr bwMode="auto">
          <a:xfrm>
            <a:off x="978" y="803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24">
            <a:extLst>
              <a:ext uri="{FF2B5EF4-FFF2-40B4-BE49-F238E27FC236}">
                <a16:creationId xmlns:a16="http://schemas.microsoft.com/office/drawing/2014/main" id="{00000000-0008-0000-0200-00001D000000}"/>
              </a:ext>
            </a:extLst>
          </xdr:cNvPr>
          <xdr:cNvSpPr>
            <a:spLocks noChangeShapeType="1"/>
          </xdr:cNvSpPr>
        </xdr:nvSpPr>
        <xdr:spPr bwMode="auto">
          <a:xfrm>
            <a:off x="969" y="803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25">
            <a:extLst>
              <a:ext uri="{FF2B5EF4-FFF2-40B4-BE49-F238E27FC236}">
                <a16:creationId xmlns:a16="http://schemas.microsoft.com/office/drawing/2014/main" id="{00000000-0008-0000-0200-00001E000000}"/>
              </a:ext>
            </a:extLst>
          </xdr:cNvPr>
          <xdr:cNvSpPr>
            <a:spLocks noChangeShapeType="1"/>
          </xdr:cNvSpPr>
        </xdr:nvSpPr>
        <xdr:spPr bwMode="auto">
          <a:xfrm>
            <a:off x="960" y="803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9524</xdr:colOff>
      <xdr:row>41</xdr:row>
      <xdr:rowOff>161924</xdr:rowOff>
    </xdr:from>
    <xdr:to>
      <xdr:col>22</xdr:col>
      <xdr:colOff>113121</xdr:colOff>
      <xdr:row>80</xdr:row>
      <xdr:rowOff>19049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7629524"/>
          <a:ext cx="11866972" cy="6067425"/>
        </a:xfrm>
        <a:prstGeom prst="rect">
          <a:avLst/>
        </a:prstGeom>
      </xdr:spPr>
    </xdr:pic>
    <xdr:clientData/>
  </xdr:twoCellAnchor>
  <xdr:twoCellAnchor>
    <xdr:from>
      <xdr:col>17</xdr:col>
      <xdr:colOff>489857</xdr:colOff>
      <xdr:row>0</xdr:row>
      <xdr:rowOff>48986</xdr:rowOff>
    </xdr:from>
    <xdr:to>
      <xdr:col>20</xdr:col>
      <xdr:colOff>157842</xdr:colOff>
      <xdr:row>4</xdr:row>
      <xdr:rowOff>71674</xdr:rowOff>
    </xdr:to>
    <xdr:grpSp>
      <xdr:nvGrpSpPr>
        <xdr:cNvPr id="31" name="Agrupar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GrpSpPr/>
      </xdr:nvGrpSpPr>
      <xdr:grpSpPr>
        <a:xfrm>
          <a:off x="9465128" y="48986"/>
          <a:ext cx="1872343" cy="893545"/>
          <a:chOff x="15881769" y="11053948"/>
          <a:chExt cx="1627097" cy="722416"/>
        </a:xfrm>
      </xdr:grpSpPr>
      <xdr:pic>
        <xdr:nvPicPr>
          <xdr:cNvPr id="32" name="Picture 5501" descr="Resize of logoapta">
            <a:extLst>
              <a:ext uri="{FF2B5EF4-FFF2-40B4-BE49-F238E27FC236}">
                <a16:creationId xmlns:a16="http://schemas.microsoft.com/office/drawing/2014/main" id="{00000000-0008-0000-02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lum contras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375413" y="11053948"/>
            <a:ext cx="1133453" cy="6659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3" name="Text Box 551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0200-00002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81769" y="11430224"/>
            <a:ext cx="818260" cy="1976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info@apta.pt</a:t>
            </a:r>
          </a:p>
        </xdr:txBody>
      </xdr:sp>
      <xdr:sp macro="" textlink="">
        <xdr:nvSpPr>
          <xdr:cNvPr id="34" name="Text Box 551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0200-00002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918384" y="11603181"/>
            <a:ext cx="751603" cy="1731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www.apta.pt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44162</xdr:colOff>
      <xdr:row>2</xdr:row>
      <xdr:rowOff>76200</xdr:rowOff>
    </xdr:from>
    <xdr:to>
      <xdr:col>73</xdr:col>
      <xdr:colOff>257175</xdr:colOff>
      <xdr:row>72</xdr:row>
      <xdr:rowOff>73024</xdr:rowOff>
    </xdr:to>
    <xdr:sp macro="" textlink="">
      <xdr:nvSpPr>
        <xdr:cNvPr id="2" name="Rectângulo 7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12245687" y="409575"/>
          <a:ext cx="8956963" cy="14617699"/>
        </a:xfrm>
        <a:prstGeom prst="rect">
          <a:avLst/>
        </a:prstGeom>
        <a:solidFill>
          <a:srgbClr val="FFFFFF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68</xdr:col>
      <xdr:colOff>1</xdr:colOff>
      <xdr:row>72</xdr:row>
      <xdr:rowOff>104775</xdr:rowOff>
    </xdr:from>
    <xdr:to>
      <xdr:col>72</xdr:col>
      <xdr:colOff>133350</xdr:colOff>
      <xdr:row>74</xdr:row>
      <xdr:rowOff>93208</xdr:rowOff>
    </xdr:to>
    <xdr:grpSp>
      <xdr:nvGrpSpPr>
        <xdr:cNvPr id="3" name="Group 59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>
          <a:grpSpLocks/>
        </xdr:cNvGrpSpPr>
      </xdr:nvGrpSpPr>
      <xdr:grpSpPr bwMode="auto">
        <a:xfrm>
          <a:off x="20764501" y="14457589"/>
          <a:ext cx="1309006" cy="276905"/>
          <a:chOff x="1218" y="2023"/>
          <a:chExt cx="130" cy="29"/>
        </a:xfrm>
      </xdr:grpSpPr>
      <xdr:sp macro="" textlink="">
        <xdr:nvSpPr>
          <xdr:cNvPr id="4" name="Text Box 60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51" y="2023"/>
            <a:ext cx="97" cy="29"/>
          </a:xfrm>
          <a:prstGeom prst="rect">
            <a:avLst/>
          </a:prstGeom>
          <a:solidFill>
            <a:srgbClr val="969696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72000" tIns="46800" rIns="90000" bIns="46800" anchor="ctr" upright="1"/>
          <a:lstStyle/>
          <a:p>
            <a:pPr algn="l" rtl="0">
              <a:defRPr sz="1000"/>
            </a:pP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Pág.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2 </a:t>
            </a: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de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2</a:t>
            </a:r>
          </a:p>
        </xdr:txBody>
      </xdr:sp>
      <xdr:sp macro="" textlink="">
        <xdr:nvSpPr>
          <xdr:cNvPr id="5" name="Line 61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>
            <a:spLocks noChangeShapeType="1"/>
          </xdr:cNvSpPr>
        </xdr:nvSpPr>
        <xdr:spPr bwMode="auto">
          <a:xfrm>
            <a:off x="1245" y="2023"/>
            <a:ext cx="0" cy="29"/>
          </a:xfrm>
          <a:prstGeom prst="line">
            <a:avLst/>
          </a:prstGeom>
          <a:noFill/>
          <a:ln w="57150">
            <a:solidFill>
              <a:srgbClr val="969696"/>
            </a:solidFill>
            <a:round/>
            <a:headEnd/>
            <a:tailEnd/>
          </a:ln>
        </xdr:spPr>
      </xdr:sp>
      <xdr:sp macro="" textlink="">
        <xdr:nvSpPr>
          <xdr:cNvPr id="6" name="Line 62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>
            <a:spLocks noChangeShapeType="1"/>
          </xdr:cNvSpPr>
        </xdr:nvSpPr>
        <xdr:spPr bwMode="auto">
          <a:xfrm>
            <a:off x="1236" y="2023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7" name="Line 63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>
            <a:spLocks noChangeShapeType="1"/>
          </xdr:cNvSpPr>
        </xdr:nvSpPr>
        <xdr:spPr bwMode="auto">
          <a:xfrm>
            <a:off x="1227" y="2023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8" name="Line 64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>
            <a:spLocks noChangeShapeType="1"/>
          </xdr:cNvSpPr>
        </xdr:nvSpPr>
        <xdr:spPr bwMode="auto">
          <a:xfrm>
            <a:off x="1218" y="2023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35</xdr:col>
      <xdr:colOff>19051</xdr:colOff>
      <xdr:row>72</xdr:row>
      <xdr:rowOff>114300</xdr:rowOff>
    </xdr:from>
    <xdr:to>
      <xdr:col>39</xdr:col>
      <xdr:colOff>190501</xdr:colOff>
      <xdr:row>74</xdr:row>
      <xdr:rowOff>95250</xdr:rowOff>
    </xdr:to>
    <xdr:grpSp>
      <xdr:nvGrpSpPr>
        <xdr:cNvPr id="11" name="Group 59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pSpPr>
          <a:grpSpLocks/>
        </xdr:cNvGrpSpPr>
      </xdr:nvGrpSpPr>
      <xdr:grpSpPr bwMode="auto">
        <a:xfrm>
          <a:off x="11013622" y="14467114"/>
          <a:ext cx="1347108" cy="269422"/>
          <a:chOff x="1218" y="2023"/>
          <a:chExt cx="130" cy="29"/>
        </a:xfrm>
      </xdr:grpSpPr>
      <xdr:sp macro="" textlink="">
        <xdr:nvSpPr>
          <xdr:cNvPr id="12" name="Text Box 60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51" y="2023"/>
            <a:ext cx="97" cy="29"/>
          </a:xfrm>
          <a:prstGeom prst="rect">
            <a:avLst/>
          </a:prstGeom>
          <a:solidFill>
            <a:srgbClr val="969696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72000" tIns="46800" rIns="90000" bIns="46800" anchor="ctr" upright="1"/>
          <a:lstStyle/>
          <a:p>
            <a:pPr algn="l" rtl="0">
              <a:defRPr sz="1000"/>
            </a:pP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Pág.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 </a:t>
            </a: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de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2</a:t>
            </a:r>
          </a:p>
        </xdr:txBody>
      </xdr:sp>
      <xdr:sp macro="" textlink="">
        <xdr:nvSpPr>
          <xdr:cNvPr id="13" name="Line 61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SpPr>
            <a:spLocks noChangeShapeType="1"/>
          </xdr:cNvSpPr>
        </xdr:nvSpPr>
        <xdr:spPr bwMode="auto">
          <a:xfrm>
            <a:off x="1245" y="2023"/>
            <a:ext cx="0" cy="29"/>
          </a:xfrm>
          <a:prstGeom prst="line">
            <a:avLst/>
          </a:prstGeom>
          <a:noFill/>
          <a:ln w="57150">
            <a:solidFill>
              <a:srgbClr val="969696"/>
            </a:solidFill>
            <a:round/>
            <a:headEnd/>
            <a:tailEnd/>
          </a:ln>
        </xdr:spPr>
      </xdr:sp>
      <xdr:sp macro="" textlink="">
        <xdr:nvSpPr>
          <xdr:cNvPr id="14" name="Line 62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SpPr>
            <a:spLocks noChangeShapeType="1"/>
          </xdr:cNvSpPr>
        </xdr:nvSpPr>
        <xdr:spPr bwMode="auto">
          <a:xfrm>
            <a:off x="1236" y="2023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15" name="Line 63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SpPr>
            <a:spLocks noChangeShapeType="1"/>
          </xdr:cNvSpPr>
        </xdr:nvSpPr>
        <xdr:spPr bwMode="auto">
          <a:xfrm>
            <a:off x="1227" y="2023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16" name="Line 64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>
            <a:spLocks noChangeShapeType="1"/>
          </xdr:cNvSpPr>
        </xdr:nvSpPr>
        <xdr:spPr bwMode="auto">
          <a:xfrm>
            <a:off x="1218" y="2023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10</xdr:col>
      <xdr:colOff>18394</xdr:colOff>
      <xdr:row>9</xdr:row>
      <xdr:rowOff>97719</xdr:rowOff>
    </xdr:from>
    <xdr:to>
      <xdr:col>11</xdr:col>
      <xdr:colOff>641</xdr:colOff>
      <xdr:row>10</xdr:row>
      <xdr:rowOff>124039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7394" y="2164644"/>
          <a:ext cx="256617" cy="261724"/>
        </a:xfrm>
        <a:prstGeom prst="rect">
          <a:avLst/>
        </a:prstGeom>
      </xdr:spPr>
    </xdr:pic>
    <xdr:clientData/>
  </xdr:twoCellAnchor>
  <xdr:twoCellAnchor editAs="oneCell">
    <xdr:from>
      <xdr:col>13</xdr:col>
      <xdr:colOff>13757</xdr:colOff>
      <xdr:row>9</xdr:row>
      <xdr:rowOff>112873</xdr:rowOff>
    </xdr:from>
    <xdr:to>
      <xdr:col>13</xdr:col>
      <xdr:colOff>256569</xdr:colOff>
      <xdr:row>10</xdr:row>
      <xdr:rowOff>94657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1432" y="2179798"/>
          <a:ext cx="245533" cy="219909"/>
        </a:xfrm>
        <a:prstGeom prst="rect">
          <a:avLst/>
        </a:prstGeom>
      </xdr:spPr>
    </xdr:pic>
    <xdr:clientData/>
  </xdr:twoCellAnchor>
  <xdr:twoCellAnchor editAs="oneCell">
    <xdr:from>
      <xdr:col>15</xdr:col>
      <xdr:colOff>37040</xdr:colOff>
      <xdr:row>9</xdr:row>
      <xdr:rowOff>69651</xdr:rowOff>
    </xdr:from>
    <xdr:to>
      <xdr:col>15</xdr:col>
      <xdr:colOff>248707</xdr:colOff>
      <xdr:row>10</xdr:row>
      <xdr:rowOff>112691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7165" y="2136576"/>
          <a:ext cx="211667" cy="281165"/>
        </a:xfrm>
        <a:prstGeom prst="rect">
          <a:avLst/>
        </a:prstGeom>
      </xdr:spPr>
    </xdr:pic>
    <xdr:clientData/>
  </xdr:twoCellAnchor>
  <xdr:twoCellAnchor editAs="oneCell">
    <xdr:from>
      <xdr:col>16</xdr:col>
      <xdr:colOff>31750</xdr:colOff>
      <xdr:row>9</xdr:row>
      <xdr:rowOff>58207</xdr:rowOff>
    </xdr:from>
    <xdr:to>
      <xdr:col>16</xdr:col>
      <xdr:colOff>256571</xdr:colOff>
      <xdr:row>10</xdr:row>
      <xdr:rowOff>121769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8100" y="2125132"/>
          <a:ext cx="227542" cy="304409"/>
        </a:xfrm>
        <a:prstGeom prst="rect">
          <a:avLst/>
        </a:prstGeom>
      </xdr:spPr>
    </xdr:pic>
    <xdr:clientData/>
  </xdr:twoCellAnchor>
  <xdr:twoCellAnchor editAs="oneCell">
    <xdr:from>
      <xdr:col>17</xdr:col>
      <xdr:colOff>269325</xdr:colOff>
      <xdr:row>9</xdr:row>
      <xdr:rowOff>115359</xdr:rowOff>
    </xdr:from>
    <xdr:to>
      <xdr:col>19</xdr:col>
      <xdr:colOff>9071</xdr:colOff>
      <xdr:row>10</xdr:row>
      <xdr:rowOff>133350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1900" y="2182284"/>
          <a:ext cx="289475" cy="218016"/>
        </a:xfrm>
        <a:prstGeom prst="rect">
          <a:avLst/>
        </a:prstGeom>
      </xdr:spPr>
    </xdr:pic>
    <xdr:clientData/>
  </xdr:twoCellAnchor>
  <xdr:twoCellAnchor editAs="oneCell">
    <xdr:from>
      <xdr:col>20</xdr:col>
      <xdr:colOff>31750</xdr:colOff>
      <xdr:row>9</xdr:row>
      <xdr:rowOff>102404</xdr:rowOff>
    </xdr:from>
    <xdr:to>
      <xdr:col>20</xdr:col>
      <xdr:colOff>245608</xdr:colOff>
      <xdr:row>10</xdr:row>
      <xdr:rowOff>105398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0" y="2169329"/>
          <a:ext cx="206375" cy="243840"/>
        </a:xfrm>
        <a:prstGeom prst="rect">
          <a:avLst/>
        </a:prstGeom>
      </xdr:spPr>
    </xdr:pic>
    <xdr:clientData/>
  </xdr:twoCellAnchor>
  <xdr:twoCellAnchor editAs="oneCell">
    <xdr:from>
      <xdr:col>25</xdr:col>
      <xdr:colOff>15876</xdr:colOff>
      <xdr:row>9</xdr:row>
      <xdr:rowOff>111124</xdr:rowOff>
    </xdr:from>
    <xdr:to>
      <xdr:col>25</xdr:col>
      <xdr:colOff>246052</xdr:colOff>
      <xdr:row>10</xdr:row>
      <xdr:rowOff>112107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7301" y="2178049"/>
          <a:ext cx="235618" cy="237067"/>
        </a:xfrm>
        <a:prstGeom prst="rect">
          <a:avLst/>
        </a:prstGeom>
      </xdr:spPr>
    </xdr:pic>
    <xdr:clientData/>
  </xdr:twoCellAnchor>
  <xdr:twoCellAnchor editAs="oneCell">
    <xdr:from>
      <xdr:col>26</xdr:col>
      <xdr:colOff>37041</xdr:colOff>
      <xdr:row>9</xdr:row>
      <xdr:rowOff>105834</xdr:rowOff>
    </xdr:from>
    <xdr:to>
      <xdr:col>26</xdr:col>
      <xdr:colOff>240349</xdr:colOff>
      <xdr:row>10</xdr:row>
      <xdr:rowOff>95227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4691" y="2172759"/>
          <a:ext cx="200587" cy="232960"/>
        </a:xfrm>
        <a:prstGeom prst="rect">
          <a:avLst/>
        </a:prstGeom>
      </xdr:spPr>
    </xdr:pic>
    <xdr:clientData/>
  </xdr:twoCellAnchor>
  <xdr:twoCellAnchor editAs="oneCell">
    <xdr:from>
      <xdr:col>27</xdr:col>
      <xdr:colOff>15874</xdr:colOff>
      <xdr:row>9</xdr:row>
      <xdr:rowOff>121708</xdr:rowOff>
    </xdr:from>
    <xdr:to>
      <xdr:col>27</xdr:col>
      <xdr:colOff>248855</xdr:colOff>
      <xdr:row>10</xdr:row>
      <xdr:rowOff>104915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9749" y="2188633"/>
          <a:ext cx="232981" cy="218610"/>
        </a:xfrm>
        <a:prstGeom prst="rect">
          <a:avLst/>
        </a:prstGeom>
      </xdr:spPr>
    </xdr:pic>
    <xdr:clientData/>
  </xdr:twoCellAnchor>
  <xdr:twoCellAnchor editAs="oneCell">
    <xdr:from>
      <xdr:col>28</xdr:col>
      <xdr:colOff>20106</xdr:colOff>
      <xdr:row>9</xdr:row>
      <xdr:rowOff>125943</xdr:rowOff>
    </xdr:from>
    <xdr:to>
      <xdr:col>28</xdr:col>
      <xdr:colOff>247645</xdr:colOff>
      <xdr:row>10</xdr:row>
      <xdr:rowOff>103707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0206" y="2192868"/>
          <a:ext cx="232981" cy="218610"/>
        </a:xfrm>
        <a:prstGeom prst="rect">
          <a:avLst/>
        </a:prstGeom>
      </xdr:spPr>
    </xdr:pic>
    <xdr:clientData/>
  </xdr:twoCellAnchor>
  <xdr:twoCellAnchor editAs="oneCell">
    <xdr:from>
      <xdr:col>31</xdr:col>
      <xdr:colOff>9792</xdr:colOff>
      <xdr:row>9</xdr:row>
      <xdr:rowOff>89958</xdr:rowOff>
    </xdr:from>
    <xdr:to>
      <xdr:col>31</xdr:col>
      <xdr:colOff>275094</xdr:colOff>
      <xdr:row>10</xdr:row>
      <xdr:rowOff>123371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8567" y="2156883"/>
          <a:ext cx="262581" cy="268817"/>
        </a:xfrm>
        <a:prstGeom prst="rect">
          <a:avLst/>
        </a:prstGeom>
      </xdr:spPr>
    </xdr:pic>
    <xdr:clientData/>
  </xdr:twoCellAnchor>
  <xdr:twoCellAnchor editAs="oneCell">
    <xdr:from>
      <xdr:col>32</xdr:col>
      <xdr:colOff>26458</xdr:colOff>
      <xdr:row>9</xdr:row>
      <xdr:rowOff>105831</xdr:rowOff>
    </xdr:from>
    <xdr:to>
      <xdr:col>32</xdr:col>
      <xdr:colOff>264357</xdr:colOff>
      <xdr:row>10</xdr:row>
      <xdr:rowOff>123370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1458" y="2172756"/>
          <a:ext cx="230415" cy="252943"/>
        </a:xfrm>
        <a:prstGeom prst="rect">
          <a:avLst/>
        </a:prstGeom>
      </xdr:spPr>
    </xdr:pic>
    <xdr:clientData/>
  </xdr:twoCellAnchor>
  <xdr:twoCellAnchor editAs="oneCell">
    <xdr:from>
      <xdr:col>33</xdr:col>
      <xdr:colOff>15874</xdr:colOff>
      <xdr:row>9</xdr:row>
      <xdr:rowOff>31750</xdr:rowOff>
    </xdr:from>
    <xdr:to>
      <xdr:col>33</xdr:col>
      <xdr:colOff>258517</xdr:colOff>
      <xdr:row>10</xdr:row>
      <xdr:rowOff>124363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7099" y="2098675"/>
          <a:ext cx="245364" cy="352510"/>
        </a:xfrm>
        <a:prstGeom prst="rect">
          <a:avLst/>
        </a:prstGeom>
      </xdr:spPr>
    </xdr:pic>
    <xdr:clientData/>
  </xdr:twoCellAnchor>
  <xdr:twoCellAnchor editAs="oneCell">
    <xdr:from>
      <xdr:col>35</xdr:col>
      <xdr:colOff>31751</xdr:colOff>
      <xdr:row>9</xdr:row>
      <xdr:rowOff>31749</xdr:rowOff>
    </xdr:from>
    <xdr:to>
      <xdr:col>35</xdr:col>
      <xdr:colOff>246685</xdr:colOff>
      <xdr:row>10</xdr:row>
      <xdr:rowOff>131307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426" y="2098674"/>
          <a:ext cx="220376" cy="358775"/>
        </a:xfrm>
        <a:prstGeom prst="rect">
          <a:avLst/>
        </a:prstGeom>
      </xdr:spPr>
    </xdr:pic>
    <xdr:clientData/>
  </xdr:twoCellAnchor>
  <xdr:twoCellAnchor editAs="oneCell">
    <xdr:from>
      <xdr:col>36</xdr:col>
      <xdr:colOff>10581</xdr:colOff>
      <xdr:row>9</xdr:row>
      <xdr:rowOff>15876</xdr:rowOff>
    </xdr:from>
    <xdr:to>
      <xdr:col>37</xdr:col>
      <xdr:colOff>1419</xdr:colOff>
      <xdr:row>10</xdr:row>
      <xdr:rowOff>125488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0481" y="2082801"/>
          <a:ext cx="259765" cy="364066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</xdr:colOff>
      <xdr:row>9</xdr:row>
      <xdr:rowOff>103402</xdr:rowOff>
    </xdr:from>
    <xdr:to>
      <xdr:col>12</xdr:col>
      <xdr:colOff>11103</xdr:colOff>
      <xdr:row>10</xdr:row>
      <xdr:rowOff>131977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0" y="2170327"/>
          <a:ext cx="256032" cy="228600"/>
        </a:xfrm>
        <a:prstGeom prst="rect">
          <a:avLst/>
        </a:prstGeom>
      </xdr:spPr>
    </xdr:pic>
    <xdr:clientData/>
  </xdr:twoCellAnchor>
  <xdr:twoCellAnchor editAs="oneCell">
    <xdr:from>
      <xdr:col>12</xdr:col>
      <xdr:colOff>22440</xdr:colOff>
      <xdr:row>9</xdr:row>
      <xdr:rowOff>85725</xdr:rowOff>
    </xdr:from>
    <xdr:to>
      <xdr:col>13</xdr:col>
      <xdr:colOff>16863</xdr:colOff>
      <xdr:row>10</xdr:row>
      <xdr:rowOff>131493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3890" y="2152650"/>
          <a:ext cx="257722" cy="24579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</xdr:row>
      <xdr:rowOff>76200</xdr:rowOff>
    </xdr:from>
    <xdr:to>
      <xdr:col>15</xdr:col>
      <xdr:colOff>7861</xdr:colOff>
      <xdr:row>10</xdr:row>
      <xdr:rowOff>124174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0" y="2143125"/>
          <a:ext cx="286808" cy="245278"/>
        </a:xfrm>
        <a:prstGeom prst="rect">
          <a:avLst/>
        </a:prstGeom>
      </xdr:spPr>
    </xdr:pic>
    <xdr:clientData/>
  </xdr:twoCellAnchor>
  <xdr:twoCellAnchor editAs="oneCell">
    <xdr:from>
      <xdr:col>16</xdr:col>
      <xdr:colOff>227540</xdr:colOff>
      <xdr:row>9</xdr:row>
      <xdr:rowOff>139699</xdr:rowOff>
    </xdr:from>
    <xdr:to>
      <xdr:col>17</xdr:col>
      <xdr:colOff>268944</xdr:colOff>
      <xdr:row>10</xdr:row>
      <xdr:rowOff>131308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3890" y="2206624"/>
          <a:ext cx="312867" cy="184151"/>
        </a:xfrm>
        <a:prstGeom prst="rect">
          <a:avLst/>
        </a:prstGeom>
      </xdr:spPr>
    </xdr:pic>
    <xdr:clientData/>
  </xdr:twoCellAnchor>
  <xdr:twoCellAnchor editAs="oneCell">
    <xdr:from>
      <xdr:col>19</xdr:col>
      <xdr:colOff>32806</xdr:colOff>
      <xdr:row>9</xdr:row>
      <xdr:rowOff>118535</xdr:rowOff>
    </xdr:from>
    <xdr:to>
      <xdr:col>20</xdr:col>
      <xdr:colOff>21316</xdr:colOff>
      <xdr:row>10</xdr:row>
      <xdr:rowOff>124993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7831" y="2185460"/>
          <a:ext cx="259293" cy="203762"/>
        </a:xfrm>
        <a:prstGeom prst="rect">
          <a:avLst/>
        </a:prstGeom>
      </xdr:spPr>
    </xdr:pic>
    <xdr:clientData/>
  </xdr:twoCellAnchor>
  <xdr:twoCellAnchor editAs="oneCell">
    <xdr:from>
      <xdr:col>21</xdr:col>
      <xdr:colOff>19050</xdr:colOff>
      <xdr:row>9</xdr:row>
      <xdr:rowOff>66675</xdr:rowOff>
    </xdr:from>
    <xdr:to>
      <xdr:col>21</xdr:col>
      <xdr:colOff>246440</xdr:colOff>
      <xdr:row>10</xdr:row>
      <xdr:rowOff>160090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5" y="2133600"/>
          <a:ext cx="232832" cy="290719"/>
        </a:xfrm>
        <a:prstGeom prst="rect">
          <a:avLst/>
        </a:prstGeom>
      </xdr:spPr>
    </xdr:pic>
    <xdr:clientData/>
  </xdr:twoCellAnchor>
  <xdr:twoCellAnchor editAs="oneCell">
    <xdr:from>
      <xdr:col>22</xdr:col>
      <xdr:colOff>34923</xdr:colOff>
      <xdr:row>9</xdr:row>
      <xdr:rowOff>106867</xdr:rowOff>
    </xdr:from>
    <xdr:to>
      <xdr:col>22</xdr:col>
      <xdr:colOff>264507</xdr:colOff>
      <xdr:row>10</xdr:row>
      <xdr:rowOff>154659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3" y="2173792"/>
          <a:ext cx="227543" cy="247817"/>
        </a:xfrm>
        <a:prstGeom prst="rect">
          <a:avLst/>
        </a:prstGeom>
      </xdr:spPr>
    </xdr:pic>
    <xdr:clientData/>
  </xdr:twoCellAnchor>
  <xdr:twoCellAnchor editAs="oneCell">
    <xdr:from>
      <xdr:col>22</xdr:col>
      <xdr:colOff>278340</xdr:colOff>
      <xdr:row>9</xdr:row>
      <xdr:rowOff>81617</xdr:rowOff>
    </xdr:from>
    <xdr:to>
      <xdr:col>23</xdr:col>
      <xdr:colOff>267758</xdr:colOff>
      <xdr:row>10</xdr:row>
      <xdr:rowOff>163053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040" y="2148542"/>
          <a:ext cx="284693" cy="278740"/>
        </a:xfrm>
        <a:prstGeom prst="rect">
          <a:avLst/>
        </a:prstGeom>
      </xdr:spPr>
    </xdr:pic>
    <xdr:clientData/>
  </xdr:twoCellAnchor>
  <xdr:twoCellAnchor editAs="oneCell">
    <xdr:from>
      <xdr:col>24</xdr:col>
      <xdr:colOff>3173</xdr:colOff>
      <xdr:row>9</xdr:row>
      <xdr:rowOff>128203</xdr:rowOff>
    </xdr:from>
    <xdr:to>
      <xdr:col>25</xdr:col>
      <xdr:colOff>9322</xdr:colOff>
      <xdr:row>10</xdr:row>
      <xdr:rowOff>141357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3" y="2195128"/>
          <a:ext cx="279653" cy="215900"/>
        </a:xfrm>
        <a:prstGeom prst="rect">
          <a:avLst/>
        </a:prstGeom>
      </xdr:spPr>
    </xdr:pic>
    <xdr:clientData/>
  </xdr:twoCellAnchor>
  <xdr:twoCellAnchor editAs="oneCell">
    <xdr:from>
      <xdr:col>28</xdr:col>
      <xdr:colOff>266700</xdr:colOff>
      <xdr:row>9</xdr:row>
      <xdr:rowOff>95250</xdr:rowOff>
    </xdr:from>
    <xdr:to>
      <xdr:col>30</xdr:col>
      <xdr:colOff>19809</xdr:colOff>
      <xdr:row>10</xdr:row>
      <xdr:rowOff>132142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2162175"/>
          <a:ext cx="300117" cy="242359"/>
        </a:xfrm>
        <a:prstGeom prst="rect">
          <a:avLst/>
        </a:prstGeom>
      </xdr:spPr>
    </xdr:pic>
    <xdr:clientData/>
  </xdr:twoCellAnchor>
  <xdr:twoCellAnchor editAs="oneCell">
    <xdr:from>
      <xdr:col>30</xdr:col>
      <xdr:colOff>7406</xdr:colOff>
      <xdr:row>9</xdr:row>
      <xdr:rowOff>100542</xdr:rowOff>
    </xdr:from>
    <xdr:to>
      <xdr:col>31</xdr:col>
      <xdr:colOff>17285</xdr:colOff>
      <xdr:row>10</xdr:row>
      <xdr:rowOff>132293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9956" y="2167467"/>
          <a:ext cx="286104" cy="231776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9</xdr:row>
      <xdr:rowOff>57150</xdr:rowOff>
    </xdr:from>
    <xdr:to>
      <xdr:col>35</xdr:col>
      <xdr:colOff>11821</xdr:colOff>
      <xdr:row>10</xdr:row>
      <xdr:rowOff>144540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7450" y="2124075"/>
          <a:ext cx="279882" cy="284693"/>
        </a:xfrm>
        <a:prstGeom prst="rect">
          <a:avLst/>
        </a:prstGeom>
      </xdr:spPr>
    </xdr:pic>
    <xdr:clientData/>
  </xdr:twoCellAnchor>
  <xdr:twoCellAnchor editAs="oneCell">
    <xdr:from>
      <xdr:col>36</xdr:col>
      <xdr:colOff>257174</xdr:colOff>
      <xdr:row>9</xdr:row>
      <xdr:rowOff>45510</xdr:rowOff>
    </xdr:from>
    <xdr:to>
      <xdr:col>38</xdr:col>
      <xdr:colOff>40435</xdr:colOff>
      <xdr:row>10</xdr:row>
      <xdr:rowOff>143016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7074" y="2112435"/>
          <a:ext cx="335711" cy="294809"/>
        </a:xfrm>
        <a:prstGeom prst="rect">
          <a:avLst/>
        </a:prstGeom>
      </xdr:spPr>
    </xdr:pic>
    <xdr:clientData/>
  </xdr:twoCellAnchor>
  <xdr:twoCellAnchor editAs="oneCell">
    <xdr:from>
      <xdr:col>38</xdr:col>
      <xdr:colOff>274714</xdr:colOff>
      <xdr:row>9</xdr:row>
      <xdr:rowOff>38102</xdr:rowOff>
    </xdr:from>
    <xdr:to>
      <xdr:col>40</xdr:col>
      <xdr:colOff>2033</xdr:colOff>
      <xdr:row>10</xdr:row>
      <xdr:rowOff>164221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7064" y="2105027"/>
          <a:ext cx="279769" cy="324104"/>
        </a:xfrm>
        <a:prstGeom prst="rect">
          <a:avLst/>
        </a:prstGeom>
      </xdr:spPr>
    </xdr:pic>
    <xdr:clientData/>
  </xdr:twoCellAnchor>
  <xdr:twoCellAnchor editAs="oneCell">
    <xdr:from>
      <xdr:col>46</xdr:col>
      <xdr:colOff>130745</xdr:colOff>
      <xdr:row>4</xdr:row>
      <xdr:rowOff>135085</xdr:rowOff>
    </xdr:from>
    <xdr:to>
      <xdr:col>68</xdr:col>
      <xdr:colOff>132699</xdr:colOff>
      <xdr:row>11</xdr:row>
      <xdr:rowOff>65376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9768" y="983676"/>
          <a:ext cx="6292351" cy="1579415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38</xdr:row>
      <xdr:rowOff>9525</xdr:rowOff>
    </xdr:from>
    <xdr:to>
      <xdr:col>6</xdr:col>
      <xdr:colOff>352426</xdr:colOff>
      <xdr:row>42</xdr:row>
      <xdr:rowOff>180975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pSpPr/>
      </xdr:nvGrpSpPr>
      <xdr:grpSpPr>
        <a:xfrm>
          <a:off x="258536" y="7820025"/>
          <a:ext cx="1955347" cy="955221"/>
          <a:chOff x="1181100" y="8543925"/>
          <a:chExt cx="1866901" cy="971550"/>
        </a:xfrm>
      </xdr:grpSpPr>
      <xdr:sp macro="" textlink="">
        <xdr:nvSpPr>
          <xdr:cNvPr id="62" name="Text Box 5474">
            <a:extLst>
              <a:ext uri="{FF2B5EF4-FFF2-40B4-BE49-F238E27FC236}">
                <a16:creationId xmlns:a16="http://schemas.microsoft.com/office/drawing/2014/main" id="{00000000-0008-0000-0300-00003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43027" y="8543925"/>
            <a:ext cx="1533524" cy="2476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36000" tIns="46800" rIns="90000" bIns="46800" anchor="t" upright="1"/>
          <a:lstStyle/>
          <a:p>
            <a:pPr algn="l" rtl="0">
              <a:defRPr sz="1000"/>
            </a:pPr>
            <a:r>
              <a:rPr lang="pt-PT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Dados já estabelecidos</a:t>
            </a:r>
          </a:p>
        </xdr:txBody>
      </xdr:sp>
      <xdr:sp macro="" textlink="">
        <xdr:nvSpPr>
          <xdr:cNvPr id="69" name="Text Box 5475">
            <a:extLst>
              <a:ext uri="{FF2B5EF4-FFF2-40B4-BE49-F238E27FC236}">
                <a16:creationId xmlns:a16="http://schemas.microsoft.com/office/drawing/2014/main" id="{00000000-0008-0000-0300-00004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43025" y="8791575"/>
            <a:ext cx="1571625" cy="304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36000" tIns="46800" rIns="90000" bIns="46800" anchor="t" upright="1"/>
          <a:lstStyle/>
          <a:p>
            <a:pPr algn="l" rtl="0">
              <a:defRPr sz="1000"/>
            </a:pPr>
            <a:r>
              <a:rPr lang="pt-PT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Imposições ou decisões</a:t>
            </a:r>
          </a:p>
        </xdr:txBody>
      </xdr:sp>
      <xdr:sp macro="" textlink="">
        <xdr:nvSpPr>
          <xdr:cNvPr id="70" name="Text Box 5476">
            <a:extLst>
              <a:ext uri="{FF2B5EF4-FFF2-40B4-BE49-F238E27FC236}">
                <a16:creationId xmlns:a16="http://schemas.microsoft.com/office/drawing/2014/main" id="{00000000-0008-0000-0300-00004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43027" y="9020175"/>
            <a:ext cx="1704974" cy="304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36000" tIns="46800" rIns="90000" bIns="46800" anchor="t" upright="1"/>
          <a:lstStyle/>
          <a:p>
            <a:pPr algn="l" rtl="0">
              <a:defRPr sz="1000"/>
            </a:pPr>
            <a:r>
              <a:rPr lang="pt-PT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Calculado com fórmulas</a:t>
            </a:r>
          </a:p>
        </xdr:txBody>
      </xdr:sp>
      <xdr:sp macro="" textlink="">
        <xdr:nvSpPr>
          <xdr:cNvPr id="71" name="Text Box 5477">
            <a:extLst>
              <a:ext uri="{FF2B5EF4-FFF2-40B4-BE49-F238E27FC236}">
                <a16:creationId xmlns:a16="http://schemas.microsoft.com/office/drawing/2014/main" id="{00000000-0008-0000-0300-00004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43024" y="9258300"/>
            <a:ext cx="1666875" cy="2571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36000" tIns="46800" rIns="90000" bIns="46800" anchor="t" upright="1"/>
          <a:lstStyle/>
          <a:p>
            <a:pPr algn="l" rtl="0">
              <a:defRPr sz="1000"/>
            </a:pPr>
            <a:r>
              <a:rPr lang="pt-PT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Tabelas de especificações</a:t>
            </a:r>
          </a:p>
        </xdr:txBody>
      </xdr:sp>
      <xdr:sp macro="" textlink="">
        <xdr:nvSpPr>
          <xdr:cNvPr id="72" name="Rectangle 10">
            <a:extLst>
              <a:ext uri="{FF2B5EF4-FFF2-40B4-BE49-F238E27FC236}">
                <a16:creationId xmlns:a16="http://schemas.microsoft.com/office/drawing/2014/main" id="{00000000-0008-0000-0300-000048000000}"/>
              </a:ext>
            </a:extLst>
          </xdr:cNvPr>
          <xdr:cNvSpPr>
            <a:spLocks noChangeArrowheads="1"/>
          </xdr:cNvSpPr>
        </xdr:nvSpPr>
        <xdr:spPr bwMode="auto">
          <a:xfrm>
            <a:off x="1181100" y="9267825"/>
            <a:ext cx="142875" cy="180975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>
            <a:noFill/>
          </a:ln>
          <a:effectLst>
            <a:prstShdw prst="shdw13" dist="53882" dir="13500000">
              <a:srgbClr val="808080"/>
            </a:prstShdw>
          </a:effectLst>
        </xdr:spPr>
      </xdr:sp>
      <xdr:sp macro="" textlink="">
        <xdr:nvSpPr>
          <xdr:cNvPr id="73" name="Rectangle 7">
            <a:extLst>
              <a:ext uri="{FF2B5EF4-FFF2-40B4-BE49-F238E27FC236}">
                <a16:creationId xmlns:a16="http://schemas.microsoft.com/office/drawing/2014/main" id="{00000000-0008-0000-0300-000049000000}"/>
              </a:ext>
            </a:extLst>
          </xdr:cNvPr>
          <xdr:cNvSpPr>
            <a:spLocks noChangeArrowheads="1"/>
          </xdr:cNvSpPr>
        </xdr:nvSpPr>
        <xdr:spPr bwMode="auto">
          <a:xfrm>
            <a:off x="1181100" y="9039225"/>
            <a:ext cx="142875" cy="180975"/>
          </a:xfrm>
          <a:prstGeom prst="rect">
            <a:avLst/>
          </a:prstGeom>
          <a:solidFill>
            <a:schemeClr val="bg2">
              <a:lumMod val="90000"/>
            </a:schemeClr>
          </a:solidFill>
          <a:ln>
            <a:noFill/>
          </a:ln>
          <a:effectLst>
            <a:prstShdw prst="shdw13" dist="53882" dir="13500000">
              <a:srgbClr val="808080"/>
            </a:prstShdw>
          </a:effectLst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4" name="Rectangle 8">
            <a:extLst>
              <a:ext uri="{FF2B5EF4-FFF2-40B4-BE49-F238E27FC236}">
                <a16:creationId xmlns:a16="http://schemas.microsoft.com/office/drawing/2014/main" id="{00000000-0008-0000-0300-00004A000000}"/>
              </a:ext>
            </a:extLst>
          </xdr:cNvPr>
          <xdr:cNvSpPr>
            <a:spLocks noChangeArrowheads="1"/>
          </xdr:cNvSpPr>
        </xdr:nvSpPr>
        <xdr:spPr bwMode="auto">
          <a:xfrm>
            <a:off x="1181100" y="8801100"/>
            <a:ext cx="152400" cy="20002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  <a:effectLst>
            <a:prstShdw prst="shdw13" dist="53882" dir="13500000">
              <a:srgbClr val="808080"/>
            </a:prstShdw>
          </a:effectLst>
        </xdr:spPr>
      </xdr:sp>
      <xdr:sp macro="" textlink="">
        <xdr:nvSpPr>
          <xdr:cNvPr id="75" name="Rectangle 9">
            <a:extLst>
              <a:ext uri="{FF2B5EF4-FFF2-40B4-BE49-F238E27FC236}">
                <a16:creationId xmlns:a16="http://schemas.microsoft.com/office/drawing/2014/main" id="{00000000-0008-0000-0300-00004B000000}"/>
              </a:ext>
            </a:extLst>
          </xdr:cNvPr>
          <xdr:cNvSpPr>
            <a:spLocks noChangeArrowheads="1"/>
          </xdr:cNvSpPr>
        </xdr:nvSpPr>
        <xdr:spPr bwMode="auto">
          <a:xfrm>
            <a:off x="1181100" y="8582025"/>
            <a:ext cx="142875" cy="16192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noFill/>
          </a:ln>
          <a:effectLst>
            <a:prstShdw prst="shdw13" dist="53882" dir="13500000">
              <a:srgbClr val="808080"/>
            </a:prstShdw>
          </a:effectLst>
        </xdr:spPr>
      </xdr:sp>
    </xdr:grpSp>
    <xdr:clientData/>
  </xdr:twoCellAnchor>
  <xdr:twoCellAnchor editAs="oneCell">
    <xdr:from>
      <xdr:col>43</xdr:col>
      <xdr:colOff>54426</xdr:colOff>
      <xdr:row>11</xdr:row>
      <xdr:rowOff>65313</xdr:rowOff>
    </xdr:from>
    <xdr:to>
      <xdr:col>67</xdr:col>
      <xdr:colOff>68034</xdr:colOff>
      <xdr:row>71</xdr:row>
      <xdr:rowOff>132207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79183" y="2536370"/>
          <a:ext cx="7462158" cy="11763593"/>
        </a:xfrm>
        <a:prstGeom prst="rect">
          <a:avLst/>
        </a:prstGeom>
      </xdr:spPr>
    </xdr:pic>
    <xdr:clientData/>
  </xdr:twoCellAnchor>
  <xdr:twoCellAnchor editAs="oneCell">
    <xdr:from>
      <xdr:col>68</xdr:col>
      <xdr:colOff>208643</xdr:colOff>
      <xdr:row>44</xdr:row>
      <xdr:rowOff>30979</xdr:rowOff>
    </xdr:from>
    <xdr:to>
      <xdr:col>100</xdr:col>
      <xdr:colOff>571500</xdr:colOff>
      <xdr:row>67</xdr:row>
      <xdr:rowOff>84221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32322" y="9072925"/>
          <a:ext cx="5424714" cy="4475564"/>
        </a:xfrm>
        <a:prstGeom prst="rect">
          <a:avLst/>
        </a:prstGeom>
      </xdr:spPr>
    </xdr:pic>
    <xdr:clientData/>
  </xdr:twoCellAnchor>
  <xdr:twoCellAnchor editAs="oneCell">
    <xdr:from>
      <xdr:col>68</xdr:col>
      <xdr:colOff>208643</xdr:colOff>
      <xdr:row>12</xdr:row>
      <xdr:rowOff>40824</xdr:rowOff>
    </xdr:from>
    <xdr:to>
      <xdr:col>105</xdr:col>
      <xdr:colOff>512763</xdr:colOff>
      <xdr:row>43</xdr:row>
      <xdr:rowOff>46696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73143" y="2756810"/>
          <a:ext cx="8637134" cy="6080100"/>
        </a:xfrm>
        <a:prstGeom prst="rect">
          <a:avLst/>
        </a:prstGeom>
      </xdr:spPr>
    </xdr:pic>
    <xdr:clientData/>
  </xdr:twoCellAnchor>
  <xdr:twoCellAnchor editAs="oneCell">
    <xdr:from>
      <xdr:col>38</xdr:col>
      <xdr:colOff>14843</xdr:colOff>
      <xdr:row>9</xdr:row>
      <xdr:rowOff>11979</xdr:rowOff>
    </xdr:from>
    <xdr:to>
      <xdr:col>38</xdr:col>
      <xdr:colOff>276477</xdr:colOff>
      <xdr:row>11</xdr:row>
      <xdr:rowOff>1189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0585" y="2053701"/>
          <a:ext cx="256872" cy="408366"/>
        </a:xfrm>
        <a:prstGeom prst="rect">
          <a:avLst/>
        </a:prstGeom>
      </xdr:spPr>
    </xdr:pic>
    <xdr:clientData/>
  </xdr:twoCellAnchor>
  <xdr:twoCellAnchor editAs="oneCell">
    <xdr:from>
      <xdr:col>48</xdr:col>
      <xdr:colOff>72676</xdr:colOff>
      <xdr:row>67</xdr:row>
      <xdr:rowOff>91112</xdr:rowOff>
    </xdr:from>
    <xdr:to>
      <xdr:col>49</xdr:col>
      <xdr:colOff>935</xdr:colOff>
      <xdr:row>69</xdr:row>
      <xdr:rowOff>85872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3530" y="13458039"/>
          <a:ext cx="256872" cy="377889"/>
        </a:xfrm>
        <a:prstGeom prst="rect">
          <a:avLst/>
        </a:prstGeom>
      </xdr:spPr>
    </xdr:pic>
    <xdr:clientData/>
  </xdr:twoCellAnchor>
  <xdr:twoCellAnchor editAs="oneCell">
    <xdr:from>
      <xdr:col>49</xdr:col>
      <xdr:colOff>96321</xdr:colOff>
      <xdr:row>63</xdr:row>
      <xdr:rowOff>32296</xdr:rowOff>
    </xdr:from>
    <xdr:to>
      <xdr:col>50</xdr:col>
      <xdr:colOff>56454</xdr:colOff>
      <xdr:row>65</xdr:row>
      <xdr:rowOff>46186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1178" y="12716169"/>
          <a:ext cx="265815" cy="392874"/>
        </a:xfrm>
        <a:prstGeom prst="rect">
          <a:avLst/>
        </a:prstGeom>
      </xdr:spPr>
    </xdr:pic>
    <xdr:clientData/>
  </xdr:twoCellAnchor>
  <xdr:twoCellAnchor editAs="oneCell">
    <xdr:from>
      <xdr:col>43</xdr:col>
      <xdr:colOff>8658</xdr:colOff>
      <xdr:row>2</xdr:row>
      <xdr:rowOff>121227</xdr:rowOff>
    </xdr:from>
    <xdr:to>
      <xdr:col>46</xdr:col>
      <xdr:colOff>143306</xdr:colOff>
      <xdr:row>5</xdr:row>
      <xdr:rowOff>239135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3226" y="458932"/>
          <a:ext cx="1134341" cy="888567"/>
        </a:xfrm>
        <a:prstGeom prst="rect">
          <a:avLst/>
        </a:prstGeom>
      </xdr:spPr>
    </xdr:pic>
    <xdr:clientData/>
  </xdr:twoCellAnchor>
  <xdr:twoCellAnchor editAs="oneCell">
    <xdr:from>
      <xdr:col>73</xdr:col>
      <xdr:colOff>204355</xdr:colOff>
      <xdr:row>16</xdr:row>
      <xdr:rowOff>169720</xdr:rowOff>
    </xdr:from>
    <xdr:to>
      <xdr:col>96</xdr:col>
      <xdr:colOff>102629</xdr:colOff>
      <xdr:row>20</xdr:row>
      <xdr:rowOff>8661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93991" y="3719947"/>
          <a:ext cx="811376" cy="635578"/>
        </a:xfrm>
        <a:prstGeom prst="rect">
          <a:avLst/>
        </a:prstGeom>
      </xdr:spPr>
    </xdr:pic>
    <xdr:clientData/>
  </xdr:twoCellAnchor>
  <xdr:twoCellAnchor>
    <xdr:from>
      <xdr:col>2</xdr:col>
      <xdr:colOff>1235</xdr:colOff>
      <xdr:row>1</xdr:row>
      <xdr:rowOff>29688</xdr:rowOff>
    </xdr:from>
    <xdr:to>
      <xdr:col>24</xdr:col>
      <xdr:colOff>43294</xdr:colOff>
      <xdr:row>2</xdr:row>
      <xdr:rowOff>38401</xdr:rowOff>
    </xdr:to>
    <xdr:sp macro="" textlink="">
      <xdr:nvSpPr>
        <xdr:cNvPr id="67" name="Retângulo: Cantos Arredondados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/>
      </xdr:nvSpPr>
      <xdr:spPr bwMode="auto">
        <a:xfrm>
          <a:off x="191735" y="98961"/>
          <a:ext cx="7185809" cy="277145"/>
        </a:xfrm>
        <a:prstGeom prst="roundRect">
          <a:avLst/>
        </a:prstGeom>
        <a:gradFill flip="none" rotWithShape="1">
          <a:gsLst>
            <a:gs pos="0">
              <a:schemeClr val="accent2">
                <a:lumMod val="50000"/>
              </a:schemeClr>
            </a:gs>
            <a:gs pos="49000">
              <a:schemeClr val="accent2">
                <a:lumMod val="89000"/>
              </a:schemeClr>
            </a:gs>
            <a:gs pos="55000">
              <a:schemeClr val="accent2">
                <a:lumMod val="75000"/>
              </a:schemeClr>
            </a:gs>
            <a:gs pos="97000">
              <a:schemeClr val="accent2">
                <a:lumMod val="50000"/>
              </a:schemeClr>
            </a:gs>
          </a:gsLst>
          <a:lin ang="2700000" scaled="1"/>
          <a:tileRect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pt-PT" sz="14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Dimensionamento de Sistema de Extinção Automática </a:t>
          </a:r>
          <a:r>
            <a:rPr lang="pt-PT" sz="12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(Rede de Sprinklers Tipo Húmida)</a:t>
          </a:r>
          <a:endParaRPr lang="pt-PT" sz="120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43</xdr:col>
      <xdr:colOff>17316</xdr:colOff>
      <xdr:row>1</xdr:row>
      <xdr:rowOff>23503</xdr:rowOff>
    </xdr:from>
    <xdr:to>
      <xdr:col>66</xdr:col>
      <xdr:colOff>251114</xdr:colOff>
      <xdr:row>2</xdr:row>
      <xdr:rowOff>32216</xdr:rowOff>
    </xdr:to>
    <xdr:sp macro="" textlink="">
      <xdr:nvSpPr>
        <xdr:cNvPr id="80" name="Retângulo: Cantos Arredondados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SpPr/>
      </xdr:nvSpPr>
      <xdr:spPr bwMode="auto">
        <a:xfrm>
          <a:off x="12321884" y="92776"/>
          <a:ext cx="6979230" cy="277145"/>
        </a:xfrm>
        <a:prstGeom prst="roundRect">
          <a:avLst/>
        </a:prstGeom>
        <a:gradFill flip="none" rotWithShape="1">
          <a:gsLst>
            <a:gs pos="0">
              <a:schemeClr val="accent2">
                <a:lumMod val="50000"/>
              </a:schemeClr>
            </a:gs>
            <a:gs pos="12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5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pt-PT" sz="14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Dimensionamento de Sistema de Extinção Automática </a:t>
          </a:r>
          <a:r>
            <a:rPr lang="pt-PT" sz="12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(Rede de Sprinklers Tipo Húmida)</a:t>
          </a:r>
          <a:endParaRPr lang="pt-PT" sz="120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65</xdr:col>
      <xdr:colOff>97973</xdr:colOff>
      <xdr:row>1</xdr:row>
      <xdr:rowOff>141515</xdr:rowOff>
    </xdr:from>
    <xdr:to>
      <xdr:col>71</xdr:col>
      <xdr:colOff>155865</xdr:colOff>
      <xdr:row>4</xdr:row>
      <xdr:rowOff>234539</xdr:rowOff>
    </xdr:to>
    <xdr:grpSp>
      <xdr:nvGrpSpPr>
        <xdr:cNvPr id="81" name="Agrupar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GrpSpPr/>
      </xdr:nvGrpSpPr>
      <xdr:grpSpPr>
        <a:xfrm>
          <a:off x="19980730" y="206829"/>
          <a:ext cx="1821378" cy="860467"/>
          <a:chOff x="15881769" y="11053948"/>
          <a:chExt cx="1735407" cy="722416"/>
        </a:xfrm>
      </xdr:grpSpPr>
      <xdr:pic>
        <xdr:nvPicPr>
          <xdr:cNvPr id="82" name="Picture 5501" descr="Resize of logoapta">
            <a:extLst>
              <a:ext uri="{FF2B5EF4-FFF2-40B4-BE49-F238E27FC236}">
                <a16:creationId xmlns:a16="http://schemas.microsoft.com/office/drawing/2014/main" id="{00000000-0008-0000-0300-00005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 cstate="print">
            <a:lum contras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375413" y="11053948"/>
            <a:ext cx="1241763" cy="6659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3" name="Text Box 5515">
            <a:hlinkClick xmlns:r="http://schemas.openxmlformats.org/officeDocument/2006/relationships" r:id="rId40"/>
            <a:extLst>
              <a:ext uri="{FF2B5EF4-FFF2-40B4-BE49-F238E27FC236}">
                <a16:creationId xmlns:a16="http://schemas.microsoft.com/office/drawing/2014/main" id="{00000000-0008-0000-0300-00005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81769" y="11430224"/>
            <a:ext cx="818260" cy="1976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info@apta.pt</a:t>
            </a:r>
          </a:p>
        </xdr:txBody>
      </xdr:sp>
      <xdr:sp macro="" textlink="">
        <xdr:nvSpPr>
          <xdr:cNvPr id="84" name="Text Box 5515">
            <a:hlinkClick xmlns:r="http://schemas.openxmlformats.org/officeDocument/2006/relationships" r:id="rId41"/>
            <a:extLst>
              <a:ext uri="{FF2B5EF4-FFF2-40B4-BE49-F238E27FC236}">
                <a16:creationId xmlns:a16="http://schemas.microsoft.com/office/drawing/2014/main" id="{00000000-0008-0000-0300-00005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918384" y="11603181"/>
            <a:ext cx="751603" cy="1731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www.apta.pt</a:t>
            </a:r>
          </a:p>
        </xdr:txBody>
      </xdr:sp>
    </xdr:grpSp>
    <xdr:clientData/>
  </xdr:twoCellAnchor>
  <xdr:twoCellAnchor editAs="oneCell">
    <xdr:from>
      <xdr:col>43</xdr:col>
      <xdr:colOff>59995</xdr:colOff>
      <xdr:row>6</xdr:row>
      <xdr:rowOff>15464</xdr:rowOff>
    </xdr:from>
    <xdr:to>
      <xdr:col>46</xdr:col>
      <xdr:colOff>181841</xdr:colOff>
      <xdr:row>10</xdr:row>
      <xdr:rowOff>178130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4563" y="1383600"/>
          <a:ext cx="1126301" cy="10718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141863</xdr:colOff>
      <xdr:row>4</xdr:row>
      <xdr:rowOff>74218</xdr:rowOff>
    </xdr:from>
    <xdr:to>
      <xdr:col>12</xdr:col>
      <xdr:colOff>51113</xdr:colOff>
      <xdr:row>50</xdr:row>
      <xdr:rowOff>24741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12" y="831270"/>
          <a:ext cx="9785562" cy="9925796"/>
        </a:xfrm>
        <a:prstGeom prst="rect">
          <a:avLst/>
        </a:prstGeom>
      </xdr:spPr>
    </xdr:pic>
    <xdr:clientData/>
  </xdr:twoCellAnchor>
  <xdr:twoCellAnchor editAs="oneCell">
    <xdr:from>
      <xdr:col>10</xdr:col>
      <xdr:colOff>127293</xdr:colOff>
      <xdr:row>36</xdr:row>
      <xdr:rowOff>91296</xdr:rowOff>
    </xdr:from>
    <xdr:to>
      <xdr:col>11</xdr:col>
      <xdr:colOff>555976</xdr:colOff>
      <xdr:row>41</xdr:row>
      <xdr:rowOff>46144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9050" y="8413425"/>
          <a:ext cx="1043726" cy="798490"/>
        </a:xfrm>
        <a:prstGeom prst="rect">
          <a:avLst/>
        </a:prstGeom>
      </xdr:spPr>
    </xdr:pic>
    <xdr:clientData/>
  </xdr:twoCellAnchor>
  <xdr:twoCellAnchor>
    <xdr:from>
      <xdr:col>19</xdr:col>
      <xdr:colOff>47625</xdr:colOff>
      <xdr:row>5</xdr:row>
      <xdr:rowOff>28575</xdr:rowOff>
    </xdr:from>
    <xdr:to>
      <xdr:col>23</xdr:col>
      <xdr:colOff>200025</xdr:colOff>
      <xdr:row>17</xdr:row>
      <xdr:rowOff>123825</xdr:rowOff>
    </xdr:to>
    <xdr:sp macro="" textlink="">
      <xdr:nvSpPr>
        <xdr:cNvPr id="6523876" name="Rectangle 10">
          <a:extLst>
            <a:ext uri="{FF2B5EF4-FFF2-40B4-BE49-F238E27FC236}">
              <a16:creationId xmlns:a16="http://schemas.microsoft.com/office/drawing/2014/main" id="{00000000-0008-0000-0400-0000E48B6300}"/>
            </a:ext>
          </a:extLst>
        </xdr:cNvPr>
        <xdr:cNvSpPr>
          <a:spLocks noChangeArrowheads="1"/>
        </xdr:cNvSpPr>
      </xdr:nvSpPr>
      <xdr:spPr bwMode="auto">
        <a:xfrm>
          <a:off x="13773150" y="1200150"/>
          <a:ext cx="2590800" cy="33623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11</xdr:col>
      <xdr:colOff>210518</xdr:colOff>
      <xdr:row>1</xdr:row>
      <xdr:rowOff>0</xdr:rowOff>
    </xdr:from>
    <xdr:to>
      <xdr:col>12</xdr:col>
      <xdr:colOff>39649</xdr:colOff>
      <xdr:row>4</xdr:row>
      <xdr:rowOff>76200</xdr:rowOff>
    </xdr:to>
    <xdr:pic>
      <xdr:nvPicPr>
        <xdr:cNvPr id="6523877" name="Picture 7" descr="Resize of logoapta">
          <a:extLst>
            <a:ext uri="{FF2B5EF4-FFF2-40B4-BE49-F238E27FC236}">
              <a16:creationId xmlns:a16="http://schemas.microsoft.com/office/drawing/2014/main" id="{00000000-0008-0000-0400-0000E58B6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7318" y="103414"/>
          <a:ext cx="115174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11</xdr:col>
      <xdr:colOff>9629</xdr:colOff>
      <xdr:row>64</xdr:row>
      <xdr:rowOff>95250</xdr:rowOff>
    </xdr:from>
    <xdr:to>
      <xdr:col>11</xdr:col>
      <xdr:colOff>1258489</xdr:colOff>
      <xdr:row>66</xdr:row>
      <xdr:rowOff>68041</xdr:rowOff>
    </xdr:to>
    <xdr:grpSp>
      <xdr:nvGrpSpPr>
        <xdr:cNvPr id="6523878" name="Group 8">
          <a:extLst>
            <a:ext uri="{FF2B5EF4-FFF2-40B4-BE49-F238E27FC236}">
              <a16:creationId xmlns:a16="http://schemas.microsoft.com/office/drawing/2014/main" id="{00000000-0008-0000-0400-0000E68B6300}"/>
            </a:ext>
          </a:extLst>
        </xdr:cNvPr>
        <xdr:cNvGrpSpPr>
          <a:grpSpLocks/>
        </xdr:cNvGrpSpPr>
      </xdr:nvGrpSpPr>
      <xdr:grpSpPr bwMode="auto">
        <a:xfrm>
          <a:off x="8693460" y="14132874"/>
          <a:ext cx="1248860" cy="254830"/>
          <a:chOff x="722" y="1508"/>
          <a:chExt cx="125" cy="29"/>
        </a:xfrm>
      </xdr:grpSpPr>
      <xdr:sp macro="" textlink="">
        <xdr:nvSpPr>
          <xdr:cNvPr id="7" name="Text Box 2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4" y="1508"/>
            <a:ext cx="93" cy="29"/>
          </a:xfrm>
          <a:prstGeom prst="rect">
            <a:avLst/>
          </a:prstGeom>
          <a:solidFill>
            <a:srgbClr val="969696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72000" tIns="46800" rIns="90000" bIns="46800" anchor="ctr" upright="1"/>
          <a:lstStyle/>
          <a:p>
            <a:pPr algn="l" rtl="0">
              <a:defRPr sz="1000"/>
            </a:pP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Pág.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 </a:t>
            </a: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de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</a:t>
            </a:r>
          </a:p>
        </xdr:txBody>
      </xdr:sp>
      <xdr:sp macro="" textlink="">
        <xdr:nvSpPr>
          <xdr:cNvPr id="6523883" name="Line 3">
            <a:extLst>
              <a:ext uri="{FF2B5EF4-FFF2-40B4-BE49-F238E27FC236}">
                <a16:creationId xmlns:a16="http://schemas.microsoft.com/office/drawing/2014/main" id="{00000000-0008-0000-0400-0000EB8B6300}"/>
              </a:ext>
            </a:extLst>
          </xdr:cNvPr>
          <xdr:cNvSpPr>
            <a:spLocks noChangeShapeType="1"/>
          </xdr:cNvSpPr>
        </xdr:nvSpPr>
        <xdr:spPr bwMode="auto">
          <a:xfrm>
            <a:off x="748" y="1508"/>
            <a:ext cx="0" cy="29"/>
          </a:xfrm>
          <a:prstGeom prst="line">
            <a:avLst/>
          </a:prstGeom>
          <a:noFill/>
          <a:ln w="57150">
            <a:solidFill>
              <a:srgbClr val="969696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523884" name="Line 4">
            <a:extLst>
              <a:ext uri="{FF2B5EF4-FFF2-40B4-BE49-F238E27FC236}">
                <a16:creationId xmlns:a16="http://schemas.microsoft.com/office/drawing/2014/main" id="{00000000-0008-0000-0400-0000EC8B6300}"/>
              </a:ext>
            </a:extLst>
          </xdr:cNvPr>
          <xdr:cNvSpPr>
            <a:spLocks noChangeShapeType="1"/>
          </xdr:cNvSpPr>
        </xdr:nvSpPr>
        <xdr:spPr bwMode="auto">
          <a:xfrm>
            <a:off x="739" y="1508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523885" name="Line 5">
            <a:extLst>
              <a:ext uri="{FF2B5EF4-FFF2-40B4-BE49-F238E27FC236}">
                <a16:creationId xmlns:a16="http://schemas.microsoft.com/office/drawing/2014/main" id="{00000000-0008-0000-0400-0000ED8B6300}"/>
              </a:ext>
            </a:extLst>
          </xdr:cNvPr>
          <xdr:cNvSpPr>
            <a:spLocks noChangeShapeType="1"/>
          </xdr:cNvSpPr>
        </xdr:nvSpPr>
        <xdr:spPr bwMode="auto">
          <a:xfrm>
            <a:off x="731" y="1508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523886" name="Line 6">
            <a:extLst>
              <a:ext uri="{FF2B5EF4-FFF2-40B4-BE49-F238E27FC236}">
                <a16:creationId xmlns:a16="http://schemas.microsoft.com/office/drawing/2014/main" id="{00000000-0008-0000-0400-0000EE8B6300}"/>
              </a:ext>
            </a:extLst>
          </xdr:cNvPr>
          <xdr:cNvSpPr>
            <a:spLocks noChangeShapeType="1"/>
          </xdr:cNvSpPr>
        </xdr:nvSpPr>
        <xdr:spPr bwMode="auto">
          <a:xfrm>
            <a:off x="722" y="1508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5</xdr:col>
      <xdr:colOff>1073971</xdr:colOff>
      <xdr:row>13</xdr:row>
      <xdr:rowOff>107285</xdr:rowOff>
    </xdr:from>
    <xdr:to>
      <xdr:col>13</xdr:col>
      <xdr:colOff>5317</xdr:colOff>
      <xdr:row>36</xdr:row>
      <xdr:rowOff>43307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5600" y="3688685"/>
          <a:ext cx="4689888" cy="4676751"/>
        </a:xfrm>
        <a:prstGeom prst="rect">
          <a:avLst/>
        </a:prstGeom>
      </xdr:spPr>
    </xdr:pic>
    <xdr:clientData/>
  </xdr:twoCellAnchor>
  <xdr:twoCellAnchor>
    <xdr:from>
      <xdr:col>1</xdr:col>
      <xdr:colOff>98960</xdr:colOff>
      <xdr:row>1</xdr:row>
      <xdr:rowOff>19793</xdr:rowOff>
    </xdr:from>
    <xdr:to>
      <xdr:col>9</xdr:col>
      <xdr:colOff>303068</xdr:colOff>
      <xdr:row>1</xdr:row>
      <xdr:rowOff>295700</xdr:rowOff>
    </xdr:to>
    <xdr:sp macro="" textlink="">
      <xdr:nvSpPr>
        <xdr:cNvPr id="15" name="Retângulo: Cantos Arredondados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 bwMode="auto">
        <a:xfrm>
          <a:off x="220187" y="123702"/>
          <a:ext cx="7252608" cy="275907"/>
        </a:xfrm>
        <a:prstGeom prst="roundRect">
          <a:avLst/>
        </a:prstGeom>
        <a:gradFill flip="none" rotWithShape="1">
          <a:gsLst>
            <a:gs pos="0">
              <a:schemeClr val="accent2">
                <a:lumMod val="50000"/>
              </a:schemeClr>
            </a:gs>
            <a:gs pos="12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5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4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RTSCIE - Dimensionamento de Sistema de Extinção Automática </a:t>
          </a:r>
          <a:r>
            <a:rPr lang="pt-PT" sz="9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(Rede de Sprinklers Tipo Húmida)</a:t>
          </a:r>
          <a:endParaRPr lang="pt-PT" sz="90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364672</xdr:colOff>
      <xdr:row>0</xdr:row>
      <xdr:rowOff>97971</xdr:rowOff>
    </xdr:from>
    <xdr:to>
      <xdr:col>11</xdr:col>
      <xdr:colOff>185058</xdr:colOff>
      <xdr:row>3</xdr:row>
      <xdr:rowOff>200936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26" t="19301" r="6031" b="19492"/>
        <a:stretch/>
      </xdr:blipFill>
      <xdr:spPr>
        <a:xfrm>
          <a:off x="7984672" y="97971"/>
          <a:ext cx="887186" cy="6091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89063</xdr:colOff>
      <xdr:row>3</xdr:row>
      <xdr:rowOff>29690</xdr:rowOff>
    </xdr:from>
    <xdr:to>
      <xdr:col>11</xdr:col>
      <xdr:colOff>564078</xdr:colOff>
      <xdr:row>64</xdr:row>
      <xdr:rowOff>127191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920" y="539339"/>
          <a:ext cx="8881755" cy="13625476"/>
        </a:xfrm>
        <a:prstGeom prst="rect">
          <a:avLst/>
        </a:prstGeom>
      </xdr:spPr>
    </xdr:pic>
    <xdr:clientData/>
  </xdr:twoCellAnchor>
  <xdr:twoCellAnchor>
    <xdr:from>
      <xdr:col>19</xdr:col>
      <xdr:colOff>47625</xdr:colOff>
      <xdr:row>5</xdr:row>
      <xdr:rowOff>28575</xdr:rowOff>
    </xdr:from>
    <xdr:to>
      <xdr:col>23</xdr:col>
      <xdr:colOff>200025</xdr:colOff>
      <xdr:row>17</xdr:row>
      <xdr:rowOff>123825</xdr:rowOff>
    </xdr:to>
    <xdr:sp macro="" textlink="">
      <xdr:nvSpPr>
        <xdr:cNvPr id="6631978" name="Rectangle 10">
          <a:extLst>
            <a:ext uri="{FF2B5EF4-FFF2-40B4-BE49-F238E27FC236}">
              <a16:creationId xmlns:a16="http://schemas.microsoft.com/office/drawing/2014/main" id="{00000000-0008-0000-0500-00002A326500}"/>
            </a:ext>
          </a:extLst>
        </xdr:cNvPr>
        <xdr:cNvSpPr>
          <a:spLocks noChangeArrowheads="1"/>
        </xdr:cNvSpPr>
      </xdr:nvSpPr>
      <xdr:spPr bwMode="auto">
        <a:xfrm>
          <a:off x="13773150" y="1200150"/>
          <a:ext cx="2590800" cy="33623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11</xdr:col>
      <xdr:colOff>21772</xdr:colOff>
      <xdr:row>64</xdr:row>
      <xdr:rowOff>95249</xdr:rowOff>
    </xdr:from>
    <xdr:to>
      <xdr:col>11</xdr:col>
      <xdr:colOff>1236890</xdr:colOff>
      <xdr:row>66</xdr:row>
      <xdr:rowOff>78921</xdr:rowOff>
    </xdr:to>
    <xdr:grpSp>
      <xdr:nvGrpSpPr>
        <xdr:cNvPr id="6631980" name="Group 8">
          <a:extLst>
            <a:ext uri="{FF2B5EF4-FFF2-40B4-BE49-F238E27FC236}">
              <a16:creationId xmlns:a16="http://schemas.microsoft.com/office/drawing/2014/main" id="{00000000-0008-0000-0500-00002C326500}"/>
            </a:ext>
          </a:extLst>
        </xdr:cNvPr>
        <xdr:cNvGrpSpPr>
          <a:grpSpLocks/>
        </xdr:cNvGrpSpPr>
      </xdr:nvGrpSpPr>
      <xdr:grpSpPr bwMode="auto">
        <a:xfrm>
          <a:off x="8537369" y="14132873"/>
          <a:ext cx="1215118" cy="260763"/>
          <a:chOff x="722" y="1508"/>
          <a:chExt cx="125" cy="29"/>
        </a:xfrm>
      </xdr:grpSpPr>
      <xdr:sp macro="" textlink="">
        <xdr:nvSpPr>
          <xdr:cNvPr id="5" name="Text Box 2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4" y="1508"/>
            <a:ext cx="93" cy="29"/>
          </a:xfrm>
          <a:prstGeom prst="rect">
            <a:avLst/>
          </a:prstGeom>
          <a:solidFill>
            <a:srgbClr val="969696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72000" tIns="46800" rIns="90000" bIns="46800" anchor="ctr" upright="1"/>
          <a:lstStyle/>
          <a:p>
            <a:pPr algn="l" rtl="0">
              <a:defRPr sz="1000"/>
            </a:pP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Pág.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 </a:t>
            </a: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de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</a:t>
            </a:r>
          </a:p>
        </xdr:txBody>
      </xdr:sp>
      <xdr:sp macro="" textlink="">
        <xdr:nvSpPr>
          <xdr:cNvPr id="6631986" name="Line 3">
            <a:extLst>
              <a:ext uri="{FF2B5EF4-FFF2-40B4-BE49-F238E27FC236}">
                <a16:creationId xmlns:a16="http://schemas.microsoft.com/office/drawing/2014/main" id="{00000000-0008-0000-0500-000032326500}"/>
              </a:ext>
            </a:extLst>
          </xdr:cNvPr>
          <xdr:cNvSpPr>
            <a:spLocks noChangeShapeType="1"/>
          </xdr:cNvSpPr>
        </xdr:nvSpPr>
        <xdr:spPr bwMode="auto">
          <a:xfrm>
            <a:off x="748" y="1508"/>
            <a:ext cx="0" cy="29"/>
          </a:xfrm>
          <a:prstGeom prst="line">
            <a:avLst/>
          </a:prstGeom>
          <a:noFill/>
          <a:ln w="57150">
            <a:solidFill>
              <a:srgbClr val="969696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31987" name="Line 4">
            <a:extLst>
              <a:ext uri="{FF2B5EF4-FFF2-40B4-BE49-F238E27FC236}">
                <a16:creationId xmlns:a16="http://schemas.microsoft.com/office/drawing/2014/main" id="{00000000-0008-0000-0500-000033326500}"/>
              </a:ext>
            </a:extLst>
          </xdr:cNvPr>
          <xdr:cNvSpPr>
            <a:spLocks noChangeShapeType="1"/>
          </xdr:cNvSpPr>
        </xdr:nvSpPr>
        <xdr:spPr bwMode="auto">
          <a:xfrm>
            <a:off x="739" y="1508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31988" name="Line 5">
            <a:extLst>
              <a:ext uri="{FF2B5EF4-FFF2-40B4-BE49-F238E27FC236}">
                <a16:creationId xmlns:a16="http://schemas.microsoft.com/office/drawing/2014/main" id="{00000000-0008-0000-0500-000034326500}"/>
              </a:ext>
            </a:extLst>
          </xdr:cNvPr>
          <xdr:cNvSpPr>
            <a:spLocks noChangeShapeType="1"/>
          </xdr:cNvSpPr>
        </xdr:nvSpPr>
        <xdr:spPr bwMode="auto">
          <a:xfrm>
            <a:off x="731" y="1508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31989" name="Line 6">
            <a:extLst>
              <a:ext uri="{FF2B5EF4-FFF2-40B4-BE49-F238E27FC236}">
                <a16:creationId xmlns:a16="http://schemas.microsoft.com/office/drawing/2014/main" id="{00000000-0008-0000-0500-000035326500}"/>
              </a:ext>
            </a:extLst>
          </xdr:cNvPr>
          <xdr:cNvSpPr>
            <a:spLocks noChangeShapeType="1"/>
          </xdr:cNvSpPr>
        </xdr:nvSpPr>
        <xdr:spPr bwMode="auto">
          <a:xfrm>
            <a:off x="722" y="1508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59378</xdr:colOff>
      <xdr:row>1</xdr:row>
      <xdr:rowOff>24740</xdr:rowOff>
    </xdr:from>
    <xdr:to>
      <xdr:col>9</xdr:col>
      <xdr:colOff>173182</xdr:colOff>
      <xdr:row>1</xdr:row>
      <xdr:rowOff>300647</xdr:rowOff>
    </xdr:to>
    <xdr:sp macro="" textlink="">
      <xdr:nvSpPr>
        <xdr:cNvPr id="14" name="Retângulo: Cantos Arredondados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 bwMode="auto">
        <a:xfrm>
          <a:off x="163287" y="128649"/>
          <a:ext cx="7162304" cy="275907"/>
        </a:xfrm>
        <a:prstGeom prst="roundRect">
          <a:avLst/>
        </a:prstGeom>
        <a:gradFill flip="none" rotWithShape="1">
          <a:gsLst>
            <a:gs pos="0">
              <a:schemeClr val="accent2">
                <a:lumMod val="50000"/>
              </a:schemeClr>
            </a:gs>
            <a:gs pos="12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5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4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EN 12845 - Dimensionamento de Sistema de Extinção Automática </a:t>
          </a:r>
          <a:r>
            <a:rPr lang="pt-PT" sz="9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(Rede de Sprinklers Tipo Húmida)</a:t>
          </a:r>
          <a:endParaRPr lang="pt-PT" sz="90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11</xdr:col>
      <xdr:colOff>171445</xdr:colOff>
      <xdr:row>1</xdr:row>
      <xdr:rowOff>10886</xdr:rowOff>
    </xdr:from>
    <xdr:to>
      <xdr:col>11</xdr:col>
      <xdr:colOff>1176942</xdr:colOff>
      <xdr:row>4</xdr:row>
      <xdr:rowOff>1</xdr:rowOff>
    </xdr:to>
    <xdr:pic>
      <xdr:nvPicPr>
        <xdr:cNvPr id="6631979" name="Picture 7" descr="Resize of logoapta">
          <a:extLst>
            <a:ext uri="{FF2B5EF4-FFF2-40B4-BE49-F238E27FC236}">
              <a16:creationId xmlns:a16="http://schemas.microsoft.com/office/drawing/2014/main" id="{00000000-0008-0000-0500-00002B326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4074" y="114300"/>
          <a:ext cx="1005497" cy="636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223161</xdr:colOff>
      <xdr:row>1</xdr:row>
      <xdr:rowOff>10886</xdr:rowOff>
    </xdr:from>
    <xdr:to>
      <xdr:col>11</xdr:col>
      <xdr:colOff>77825</xdr:colOff>
      <xdr:row>3</xdr:row>
      <xdr:rowOff>65314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96"/>
        <a:stretch/>
      </xdr:blipFill>
      <xdr:spPr>
        <a:xfrm>
          <a:off x="7821390" y="114300"/>
          <a:ext cx="769064" cy="457200"/>
        </a:xfrm>
        <a:prstGeom prst="rect">
          <a:avLst/>
        </a:prstGeom>
      </xdr:spPr>
    </xdr:pic>
    <xdr:clientData/>
  </xdr:twoCellAnchor>
  <xdr:twoCellAnchor editAs="oneCell">
    <xdr:from>
      <xdr:col>5</xdr:col>
      <xdr:colOff>846714</xdr:colOff>
      <xdr:row>17</xdr:row>
      <xdr:rowOff>19910</xdr:rowOff>
    </xdr:from>
    <xdr:to>
      <xdr:col>11</xdr:col>
      <xdr:colOff>897158</xdr:colOff>
      <xdr:row>38</xdr:row>
      <xdr:rowOff>12117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0896" y="4479342"/>
          <a:ext cx="4328035" cy="43823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5442</xdr:colOff>
      <xdr:row>1</xdr:row>
      <xdr:rowOff>217714</xdr:rowOff>
    </xdr:from>
    <xdr:to>
      <xdr:col>12</xdr:col>
      <xdr:colOff>730704</xdr:colOff>
      <xdr:row>65</xdr:row>
      <xdr:rowOff>6354</xdr:rowOff>
    </xdr:to>
    <xdr:sp macro="" textlink="">
      <xdr:nvSpPr>
        <xdr:cNvPr id="6688241" name="Rectangle 9">
          <a:extLst>
            <a:ext uri="{FF2B5EF4-FFF2-40B4-BE49-F238E27FC236}">
              <a16:creationId xmlns:a16="http://schemas.microsoft.com/office/drawing/2014/main" id="{00000000-0008-0000-0600-0000F10D6600}"/>
            </a:ext>
          </a:extLst>
        </xdr:cNvPr>
        <xdr:cNvSpPr>
          <a:spLocks noChangeArrowheads="1"/>
        </xdr:cNvSpPr>
      </xdr:nvSpPr>
      <xdr:spPr bwMode="auto">
        <a:xfrm>
          <a:off x="114299" y="321128"/>
          <a:ext cx="9961791" cy="13869312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79168</xdr:colOff>
      <xdr:row>3</xdr:row>
      <xdr:rowOff>4947</xdr:rowOff>
    </xdr:from>
    <xdr:to>
      <xdr:col>12</xdr:col>
      <xdr:colOff>376052</xdr:colOff>
      <xdr:row>64</xdr:row>
      <xdr:rowOff>48731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5" y="514596"/>
          <a:ext cx="9534897" cy="13645980"/>
        </a:xfrm>
        <a:prstGeom prst="rect">
          <a:avLst/>
        </a:prstGeom>
      </xdr:spPr>
    </xdr:pic>
    <xdr:clientData/>
  </xdr:twoCellAnchor>
  <xdr:twoCellAnchor>
    <xdr:from>
      <xdr:col>13</xdr:col>
      <xdr:colOff>84364</xdr:colOff>
      <xdr:row>0</xdr:row>
      <xdr:rowOff>0</xdr:rowOff>
    </xdr:from>
    <xdr:to>
      <xdr:col>18</xdr:col>
      <xdr:colOff>571498</xdr:colOff>
      <xdr:row>25</xdr:row>
      <xdr:rowOff>190500</xdr:rowOff>
    </xdr:to>
    <xdr:sp macro="" textlink="">
      <xdr:nvSpPr>
        <xdr:cNvPr id="6688240" name="Rectangle 9">
          <a:extLst>
            <a:ext uri="{FF2B5EF4-FFF2-40B4-BE49-F238E27FC236}">
              <a16:creationId xmlns:a16="http://schemas.microsoft.com/office/drawing/2014/main" id="{00000000-0008-0000-0600-0000F00D6600}"/>
            </a:ext>
          </a:extLst>
        </xdr:cNvPr>
        <xdr:cNvSpPr>
          <a:spLocks noChangeArrowheads="1"/>
        </xdr:cNvSpPr>
      </xdr:nvSpPr>
      <xdr:spPr bwMode="auto">
        <a:xfrm>
          <a:off x="10180864" y="0"/>
          <a:ext cx="4601934" cy="629738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85725</xdr:colOff>
      <xdr:row>3</xdr:row>
      <xdr:rowOff>142875</xdr:rowOff>
    </xdr:from>
    <xdr:to>
      <xdr:col>22</xdr:col>
      <xdr:colOff>238125</xdr:colOff>
      <xdr:row>14</xdr:row>
      <xdr:rowOff>66675</xdr:rowOff>
    </xdr:to>
    <xdr:sp macro="" textlink="">
      <xdr:nvSpPr>
        <xdr:cNvPr id="6688242" name="Rectangle 10">
          <a:extLst>
            <a:ext uri="{FF2B5EF4-FFF2-40B4-BE49-F238E27FC236}">
              <a16:creationId xmlns:a16="http://schemas.microsoft.com/office/drawing/2014/main" id="{00000000-0008-0000-0600-0000F20D6600}"/>
            </a:ext>
          </a:extLst>
        </xdr:cNvPr>
        <xdr:cNvSpPr>
          <a:spLocks noChangeArrowheads="1"/>
        </xdr:cNvSpPr>
      </xdr:nvSpPr>
      <xdr:spPr bwMode="auto">
        <a:xfrm>
          <a:off x="14354175" y="657225"/>
          <a:ext cx="2781300" cy="33813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10</xdr:col>
      <xdr:colOff>19048</xdr:colOff>
      <xdr:row>64</xdr:row>
      <xdr:rowOff>20410</xdr:rowOff>
    </xdr:from>
    <xdr:to>
      <xdr:col>11</xdr:col>
      <xdr:colOff>715741</xdr:colOff>
      <xdr:row>66</xdr:row>
      <xdr:rowOff>54430</xdr:rowOff>
    </xdr:to>
    <xdr:grpSp>
      <xdr:nvGrpSpPr>
        <xdr:cNvPr id="6688244" name="Group 8">
          <a:extLst>
            <a:ext uri="{FF2B5EF4-FFF2-40B4-BE49-F238E27FC236}">
              <a16:creationId xmlns:a16="http://schemas.microsoft.com/office/drawing/2014/main" id="{00000000-0008-0000-0600-0000F40D6600}"/>
            </a:ext>
          </a:extLst>
        </xdr:cNvPr>
        <xdr:cNvGrpSpPr>
          <a:grpSpLocks/>
        </xdr:cNvGrpSpPr>
      </xdr:nvGrpSpPr>
      <xdr:grpSpPr bwMode="auto">
        <a:xfrm>
          <a:off x="8069529" y="14132255"/>
          <a:ext cx="1216238" cy="246785"/>
          <a:chOff x="722" y="1508"/>
          <a:chExt cx="124" cy="29"/>
        </a:xfrm>
      </xdr:grpSpPr>
      <xdr:sp macro="" textlink="">
        <xdr:nvSpPr>
          <xdr:cNvPr id="32770" name="Text Box 2">
            <a:extLst>
              <a:ext uri="{FF2B5EF4-FFF2-40B4-BE49-F238E27FC236}">
                <a16:creationId xmlns:a16="http://schemas.microsoft.com/office/drawing/2014/main" id="{00000000-0008-0000-0600-0000028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3" y="1508"/>
            <a:ext cx="93" cy="29"/>
          </a:xfrm>
          <a:prstGeom prst="rect">
            <a:avLst/>
          </a:prstGeom>
          <a:solidFill>
            <a:srgbClr val="969696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72000" tIns="46800" rIns="90000" bIns="46800" anchor="ctr" upright="1"/>
          <a:lstStyle/>
          <a:p>
            <a:pPr algn="l" rtl="0">
              <a:defRPr sz="1000"/>
            </a:pP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Pág.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 </a:t>
            </a: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de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</a:t>
            </a:r>
          </a:p>
        </xdr:txBody>
      </xdr:sp>
      <xdr:sp macro="" textlink="">
        <xdr:nvSpPr>
          <xdr:cNvPr id="6688256" name="Line 3">
            <a:extLst>
              <a:ext uri="{FF2B5EF4-FFF2-40B4-BE49-F238E27FC236}">
                <a16:creationId xmlns:a16="http://schemas.microsoft.com/office/drawing/2014/main" id="{00000000-0008-0000-0600-0000000E6600}"/>
              </a:ext>
            </a:extLst>
          </xdr:cNvPr>
          <xdr:cNvSpPr>
            <a:spLocks noChangeShapeType="1"/>
          </xdr:cNvSpPr>
        </xdr:nvSpPr>
        <xdr:spPr bwMode="auto">
          <a:xfrm>
            <a:off x="748" y="1508"/>
            <a:ext cx="0" cy="29"/>
          </a:xfrm>
          <a:prstGeom prst="line">
            <a:avLst/>
          </a:prstGeom>
          <a:noFill/>
          <a:ln w="57150">
            <a:solidFill>
              <a:srgbClr val="969696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88257" name="Line 4">
            <a:extLst>
              <a:ext uri="{FF2B5EF4-FFF2-40B4-BE49-F238E27FC236}">
                <a16:creationId xmlns:a16="http://schemas.microsoft.com/office/drawing/2014/main" id="{00000000-0008-0000-0600-0000010E6600}"/>
              </a:ext>
            </a:extLst>
          </xdr:cNvPr>
          <xdr:cNvSpPr>
            <a:spLocks noChangeShapeType="1"/>
          </xdr:cNvSpPr>
        </xdr:nvSpPr>
        <xdr:spPr bwMode="auto">
          <a:xfrm>
            <a:off x="739" y="1508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88258" name="Line 5">
            <a:extLst>
              <a:ext uri="{FF2B5EF4-FFF2-40B4-BE49-F238E27FC236}">
                <a16:creationId xmlns:a16="http://schemas.microsoft.com/office/drawing/2014/main" id="{00000000-0008-0000-0600-0000020E6600}"/>
              </a:ext>
            </a:extLst>
          </xdr:cNvPr>
          <xdr:cNvSpPr>
            <a:spLocks noChangeShapeType="1"/>
          </xdr:cNvSpPr>
        </xdr:nvSpPr>
        <xdr:spPr bwMode="auto">
          <a:xfrm>
            <a:off x="731" y="1508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88259" name="Line 6">
            <a:extLst>
              <a:ext uri="{FF2B5EF4-FFF2-40B4-BE49-F238E27FC236}">
                <a16:creationId xmlns:a16="http://schemas.microsoft.com/office/drawing/2014/main" id="{00000000-0008-0000-0600-0000030E6600}"/>
              </a:ext>
            </a:extLst>
          </xdr:cNvPr>
          <xdr:cNvSpPr>
            <a:spLocks noChangeShapeType="1"/>
          </xdr:cNvSpPr>
        </xdr:nvSpPr>
        <xdr:spPr bwMode="auto">
          <a:xfrm>
            <a:off x="722" y="1508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97847</xdr:colOff>
      <xdr:row>1</xdr:row>
      <xdr:rowOff>9896</xdr:rowOff>
    </xdr:from>
    <xdr:to>
      <xdr:col>9</xdr:col>
      <xdr:colOff>130628</xdr:colOff>
      <xdr:row>1</xdr:row>
      <xdr:rowOff>285803</xdr:rowOff>
    </xdr:to>
    <xdr:sp macro="" textlink="">
      <xdr:nvSpPr>
        <xdr:cNvPr id="22" name="Retângulo: Cantos Arredondados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/>
      </xdr:nvSpPr>
      <xdr:spPr bwMode="auto">
        <a:xfrm>
          <a:off x="206704" y="113310"/>
          <a:ext cx="7522153" cy="275907"/>
        </a:xfrm>
        <a:prstGeom prst="roundRect">
          <a:avLst/>
        </a:prstGeom>
        <a:gradFill flip="none" rotWithShape="1">
          <a:gsLst>
            <a:gs pos="0">
              <a:schemeClr val="accent2">
                <a:lumMod val="50000"/>
              </a:schemeClr>
            </a:gs>
            <a:gs pos="12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5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pt-PT" sz="14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NFPA 13 - Dimensionamento de Sistema de Extinção Automática </a:t>
          </a:r>
          <a:r>
            <a:rPr lang="pt-PT" sz="9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(Rede de Sprinklers Tipo Húmida)</a:t>
          </a:r>
          <a:endParaRPr lang="pt-PT" sz="90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11</xdr:col>
      <xdr:colOff>61229</xdr:colOff>
      <xdr:row>0</xdr:row>
      <xdr:rowOff>88446</xdr:rowOff>
    </xdr:from>
    <xdr:to>
      <xdr:col>12</xdr:col>
      <xdr:colOff>288468</xdr:colOff>
      <xdr:row>3</xdr:row>
      <xdr:rowOff>190500</xdr:rowOff>
    </xdr:to>
    <xdr:pic>
      <xdr:nvPicPr>
        <xdr:cNvPr id="6688243" name="Picture 7" descr="Resize of logoapta">
          <a:extLst>
            <a:ext uri="{FF2B5EF4-FFF2-40B4-BE49-F238E27FC236}">
              <a16:creationId xmlns:a16="http://schemas.microsoft.com/office/drawing/2014/main" id="{00000000-0008-0000-0600-0000F30D6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8286" y="88446"/>
          <a:ext cx="1005568" cy="60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179613</xdr:colOff>
      <xdr:row>1</xdr:row>
      <xdr:rowOff>16330</xdr:rowOff>
    </xdr:from>
    <xdr:to>
      <xdr:col>11</xdr:col>
      <xdr:colOff>7846</xdr:colOff>
      <xdr:row>3</xdr:row>
      <xdr:rowOff>32658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7842" y="119744"/>
          <a:ext cx="797061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750308</xdr:colOff>
      <xdr:row>15</xdr:row>
      <xdr:rowOff>143309</xdr:rowOff>
    </xdr:from>
    <xdr:to>
      <xdr:col>12</xdr:col>
      <xdr:colOff>255875</xdr:colOff>
      <xdr:row>38</xdr:row>
      <xdr:rowOff>122800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4490" y="4282354"/>
          <a:ext cx="4631749" cy="47160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69399</xdr:colOff>
      <xdr:row>4</xdr:row>
      <xdr:rowOff>76200</xdr:rowOff>
    </xdr:from>
    <xdr:to>
      <xdr:col>6</xdr:col>
      <xdr:colOff>488499</xdr:colOff>
      <xdr:row>29</xdr:row>
      <xdr:rowOff>152400</xdr:rowOff>
    </xdr:to>
    <xdr:graphicFrame macro="">
      <xdr:nvGraphicFramePr>
        <xdr:cNvPr id="6480846" name="Chart 1">
          <a:extLst>
            <a:ext uri="{FF2B5EF4-FFF2-40B4-BE49-F238E27FC236}">
              <a16:creationId xmlns:a16="http://schemas.microsoft.com/office/drawing/2014/main" id="{00000000-0008-0000-0700-0000CEE36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4</xdr:row>
      <xdr:rowOff>76200</xdr:rowOff>
    </xdr:from>
    <xdr:to>
      <xdr:col>14</xdr:col>
      <xdr:colOff>161925</xdr:colOff>
      <xdr:row>30</xdr:row>
      <xdr:rowOff>0</xdr:rowOff>
    </xdr:to>
    <xdr:graphicFrame macro="">
      <xdr:nvGraphicFramePr>
        <xdr:cNvPr id="6480847" name="Chart 2">
          <a:extLst>
            <a:ext uri="{FF2B5EF4-FFF2-40B4-BE49-F238E27FC236}">
              <a16:creationId xmlns:a16="http://schemas.microsoft.com/office/drawing/2014/main" id="{00000000-0008-0000-0700-0000CFE36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307521</xdr:colOff>
      <xdr:row>0</xdr:row>
      <xdr:rowOff>152400</xdr:rowOff>
    </xdr:from>
    <xdr:to>
      <xdr:col>14</xdr:col>
      <xdr:colOff>155122</xdr:colOff>
      <xdr:row>3</xdr:row>
      <xdr:rowOff>68036</xdr:rowOff>
    </xdr:to>
    <xdr:pic>
      <xdr:nvPicPr>
        <xdr:cNvPr id="6480848" name="Picture 3" descr="Resize of logoapta">
          <a:extLst>
            <a:ext uri="{FF2B5EF4-FFF2-40B4-BE49-F238E27FC236}">
              <a16:creationId xmlns:a16="http://schemas.microsoft.com/office/drawing/2014/main" id="{00000000-0008-0000-0700-0000D0E36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152400"/>
          <a:ext cx="8667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13</xdr:col>
      <xdr:colOff>12246</xdr:colOff>
      <xdr:row>35</xdr:row>
      <xdr:rowOff>97971</xdr:rowOff>
    </xdr:from>
    <xdr:to>
      <xdr:col>14</xdr:col>
      <xdr:colOff>212272</xdr:colOff>
      <xdr:row>37</xdr:row>
      <xdr:rowOff>76199</xdr:rowOff>
    </xdr:to>
    <xdr:grpSp>
      <xdr:nvGrpSpPr>
        <xdr:cNvPr id="6480849" name="Group 4">
          <a:extLst>
            <a:ext uri="{FF2B5EF4-FFF2-40B4-BE49-F238E27FC236}">
              <a16:creationId xmlns:a16="http://schemas.microsoft.com/office/drawing/2014/main" id="{00000000-0008-0000-0700-0000D1E36200}"/>
            </a:ext>
          </a:extLst>
        </xdr:cNvPr>
        <xdr:cNvGrpSpPr>
          <a:grpSpLocks/>
        </xdr:cNvGrpSpPr>
      </xdr:nvGrpSpPr>
      <xdr:grpSpPr bwMode="auto">
        <a:xfrm>
          <a:off x="9477870" y="6000997"/>
          <a:ext cx="1283648" cy="255319"/>
          <a:chOff x="722" y="1508"/>
          <a:chExt cx="124" cy="29"/>
        </a:xfrm>
      </xdr:grpSpPr>
      <xdr:sp macro="" textlink="">
        <xdr:nvSpPr>
          <xdr:cNvPr id="34821" name="Text Box 5">
            <a:extLst>
              <a:ext uri="{FF2B5EF4-FFF2-40B4-BE49-F238E27FC236}">
                <a16:creationId xmlns:a16="http://schemas.microsoft.com/office/drawing/2014/main" id="{00000000-0008-0000-0700-0000058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3" y="1508"/>
            <a:ext cx="93" cy="29"/>
          </a:xfrm>
          <a:prstGeom prst="rect">
            <a:avLst/>
          </a:prstGeom>
          <a:solidFill>
            <a:srgbClr val="969696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72000" tIns="46800" rIns="90000" bIns="46800" anchor="ctr" upright="1"/>
          <a:lstStyle/>
          <a:p>
            <a:pPr algn="l" rtl="0">
              <a:defRPr sz="1000"/>
            </a:pP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Pág.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 </a:t>
            </a: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de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</a:t>
            </a:r>
          </a:p>
        </xdr:txBody>
      </xdr:sp>
      <xdr:sp macro="" textlink="">
        <xdr:nvSpPr>
          <xdr:cNvPr id="6480851" name="Line 6">
            <a:extLst>
              <a:ext uri="{FF2B5EF4-FFF2-40B4-BE49-F238E27FC236}">
                <a16:creationId xmlns:a16="http://schemas.microsoft.com/office/drawing/2014/main" id="{00000000-0008-0000-0700-0000D3E36200}"/>
              </a:ext>
            </a:extLst>
          </xdr:cNvPr>
          <xdr:cNvSpPr>
            <a:spLocks noChangeShapeType="1"/>
          </xdr:cNvSpPr>
        </xdr:nvSpPr>
        <xdr:spPr bwMode="auto">
          <a:xfrm>
            <a:off x="748" y="1508"/>
            <a:ext cx="0" cy="29"/>
          </a:xfrm>
          <a:prstGeom prst="line">
            <a:avLst/>
          </a:prstGeom>
          <a:noFill/>
          <a:ln w="57150">
            <a:solidFill>
              <a:srgbClr val="969696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480852" name="Line 7">
            <a:extLst>
              <a:ext uri="{FF2B5EF4-FFF2-40B4-BE49-F238E27FC236}">
                <a16:creationId xmlns:a16="http://schemas.microsoft.com/office/drawing/2014/main" id="{00000000-0008-0000-0700-0000D4E36200}"/>
              </a:ext>
            </a:extLst>
          </xdr:cNvPr>
          <xdr:cNvSpPr>
            <a:spLocks noChangeShapeType="1"/>
          </xdr:cNvSpPr>
        </xdr:nvSpPr>
        <xdr:spPr bwMode="auto">
          <a:xfrm>
            <a:off x="739" y="1508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480853" name="Line 8">
            <a:extLst>
              <a:ext uri="{FF2B5EF4-FFF2-40B4-BE49-F238E27FC236}">
                <a16:creationId xmlns:a16="http://schemas.microsoft.com/office/drawing/2014/main" id="{00000000-0008-0000-0700-0000D5E36200}"/>
              </a:ext>
            </a:extLst>
          </xdr:cNvPr>
          <xdr:cNvSpPr>
            <a:spLocks noChangeShapeType="1"/>
          </xdr:cNvSpPr>
        </xdr:nvSpPr>
        <xdr:spPr bwMode="auto">
          <a:xfrm>
            <a:off x="731" y="1508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480854" name="Line 9">
            <a:extLst>
              <a:ext uri="{FF2B5EF4-FFF2-40B4-BE49-F238E27FC236}">
                <a16:creationId xmlns:a16="http://schemas.microsoft.com/office/drawing/2014/main" id="{00000000-0008-0000-0700-0000D6E36200}"/>
              </a:ext>
            </a:extLst>
          </xdr:cNvPr>
          <xdr:cNvSpPr>
            <a:spLocks noChangeShapeType="1"/>
          </xdr:cNvSpPr>
        </xdr:nvSpPr>
        <xdr:spPr bwMode="auto">
          <a:xfrm>
            <a:off x="722" y="1508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43543</xdr:colOff>
      <xdr:row>0</xdr:row>
      <xdr:rowOff>136072</xdr:rowOff>
    </xdr:from>
    <xdr:to>
      <xdr:col>10</xdr:col>
      <xdr:colOff>250372</xdr:colOff>
      <xdr:row>1</xdr:row>
      <xdr:rowOff>248693</xdr:rowOff>
    </xdr:to>
    <xdr:sp macro="" textlink="">
      <xdr:nvSpPr>
        <xdr:cNvPr id="11" name="Retângulo: Cantos Arredondados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 bwMode="auto">
        <a:xfrm>
          <a:off x="152400" y="136072"/>
          <a:ext cx="7788729" cy="275907"/>
        </a:xfrm>
        <a:prstGeom prst="roundRect">
          <a:avLst/>
        </a:prstGeom>
        <a:gradFill flip="none" rotWithShape="1">
          <a:gsLst>
            <a:gs pos="0">
              <a:schemeClr val="accent2">
                <a:lumMod val="50000"/>
              </a:schemeClr>
            </a:gs>
            <a:gs pos="12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5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4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NFPA 13 - Dimensionamento de Sistema de Extinção Automática</a:t>
          </a:r>
          <a:r>
            <a:rPr lang="pt-PT" sz="9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(Rede de Sprinklers Tipo Húmida)</a:t>
          </a:r>
          <a:endParaRPr lang="pt-PT" sz="90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10</xdr:col>
      <xdr:colOff>397329</xdr:colOff>
      <xdr:row>0</xdr:row>
      <xdr:rowOff>130630</xdr:rowOff>
    </xdr:from>
    <xdr:to>
      <xdr:col>12</xdr:col>
      <xdr:colOff>150530</xdr:colOff>
      <xdr:row>2</xdr:row>
      <xdr:rowOff>136073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8086" y="130630"/>
          <a:ext cx="879873" cy="46264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160875</xdr:colOff>
      <xdr:row>98</xdr:row>
      <xdr:rowOff>35169</xdr:rowOff>
    </xdr:from>
    <xdr:to>
      <xdr:col>21</xdr:col>
      <xdr:colOff>38100</xdr:colOff>
      <xdr:row>99</xdr:row>
      <xdr:rowOff>157319</xdr:rowOff>
    </xdr:to>
    <xdr:sp macro="" textlink="">
      <xdr:nvSpPr>
        <xdr:cNvPr id="42063" name="Text Box 79">
          <a:extLst>
            <a:ext uri="{FF2B5EF4-FFF2-40B4-BE49-F238E27FC236}">
              <a16:creationId xmlns:a16="http://schemas.microsoft.com/office/drawing/2014/main" id="{00000000-0008-0000-0800-00004FA40000}"/>
            </a:ext>
          </a:extLst>
        </xdr:cNvPr>
        <xdr:cNvSpPr txBox="1">
          <a:spLocks noChangeArrowheads="1"/>
        </xdr:cNvSpPr>
      </xdr:nvSpPr>
      <xdr:spPr bwMode="auto">
        <a:xfrm>
          <a:off x="4142534" y="15497070"/>
          <a:ext cx="7279511" cy="281249"/>
        </a:xfrm>
        <a:prstGeom prst="rect">
          <a:avLst/>
        </a:prstGeom>
        <a:solidFill>
          <a:schemeClr val="bg2">
            <a:lumMod val="9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46800" tIns="46800" rIns="46800" bIns="46800" anchor="ctr" upright="1"/>
        <a:lstStyle/>
        <a:p>
          <a:pPr marL="0" indent="0" algn="just" rtl="0">
            <a:lnSpc>
              <a:spcPts val="1000"/>
            </a:lnSpc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14.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Em baixo à esquerda é apresentada uma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síntese do consumo de tubos de aço.</a:t>
          </a:r>
        </a:p>
      </xdr:txBody>
    </xdr:sp>
    <xdr:clientData/>
  </xdr:twoCellAnchor>
  <xdr:twoCellAnchor editAs="absolute">
    <xdr:from>
      <xdr:col>7</xdr:col>
      <xdr:colOff>160875</xdr:colOff>
      <xdr:row>76</xdr:row>
      <xdr:rowOff>11515</xdr:rowOff>
    </xdr:from>
    <xdr:to>
      <xdr:col>21</xdr:col>
      <xdr:colOff>38100</xdr:colOff>
      <xdr:row>93</xdr:row>
      <xdr:rowOff>62803</xdr:rowOff>
    </xdr:to>
    <xdr:sp macro="" textlink="">
      <xdr:nvSpPr>
        <xdr:cNvPr id="42059" name="Text Box 75">
          <a:extLst>
            <a:ext uri="{FF2B5EF4-FFF2-40B4-BE49-F238E27FC236}">
              <a16:creationId xmlns:a16="http://schemas.microsoft.com/office/drawing/2014/main" id="{00000000-0008-0000-0800-00004BA40000}"/>
            </a:ext>
          </a:extLst>
        </xdr:cNvPr>
        <xdr:cNvSpPr txBox="1">
          <a:spLocks noChangeArrowheads="1"/>
        </xdr:cNvSpPr>
      </xdr:nvSpPr>
      <xdr:spPr bwMode="auto">
        <a:xfrm>
          <a:off x="4142534" y="12036043"/>
          <a:ext cx="7279511" cy="2755968"/>
        </a:xfrm>
        <a:prstGeom prst="rect">
          <a:avLst/>
        </a:prstGeom>
        <a:solidFill>
          <a:schemeClr val="bg2">
            <a:lumMod val="9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46800" tIns="46800" rIns="46800" bIns="46800" anchor="ctr" upright="1"/>
        <a:lstStyle/>
        <a:p>
          <a:pPr algn="just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12. Análise e avaliação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(dos valores obtidos mediante cálculo hidráulico e consulta automática dos Quadros 1, 5 e 6):</a:t>
          </a:r>
        </a:p>
        <a:p>
          <a:pPr algn="just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Nas Colunas (14), (15) e (16)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são apresentados os diâmetros interior e exterior (em mm), a dimensão da rosca e a dimensão nominal de cada troço.</a:t>
          </a:r>
        </a:p>
        <a:p>
          <a:pPr algn="just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Nas Colunas (23) e (24)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resume-se a perda de carga dinâmica acumulada nos ramais principais e a respectiva avaliação da conformidade do troço em questão.</a:t>
          </a:r>
        </a:p>
        <a:p>
          <a:pPr algn="just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Nas Colunas (25) e (26)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resume-se a velocidade de escoamento em cada troço e a avaliação da conformidade.</a:t>
          </a:r>
        </a:p>
        <a:p>
          <a:pPr algn="just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Nos troços onde se verificarem casos de não conformidade (automaticamente assinalados pela cor “</a:t>
          </a:r>
          <a:r>
            <a:rPr lang="pt-PT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Vermelha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” e com a mensagem "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Redimensionar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"), deve-se subir um escalão no valor do diâmetro interior normalizado do troço em questão por consulta do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Quadro 1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introduzindo esse novo valor (em mm) na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Coluna (13)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correspondente ao novo Diâmetro Imposto.</a:t>
          </a:r>
        </a:p>
        <a:p>
          <a:pPr algn="just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Em cima à direita da folha de resultados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são apresentadas:</a:t>
          </a:r>
        </a:p>
        <a:p>
          <a:pPr algn="just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A perda de carga dinâmica total e a perda de carga dinâmica nos ramais principais.</a:t>
          </a:r>
        </a:p>
        <a:p>
          <a:pPr algn="just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O diâmetro médio da tubagem da instalação e as necessidades de pressão e caudal da instalação.</a:t>
          </a:r>
        </a:p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Estimativa de potência mínima da fonte alimentação (sistema de bombagem) em kW, considerando um rendimento de 75 %. Este rendimento pode ser alterado na célula à direita. Sendo tembém calculada a respectiva capacidade do reservatório autónomo de alimentação.  </a:t>
          </a:r>
        </a:p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A avaliação global do dimensionamento. Em caso de não conformidade (automaticamente assinalada pela cor "</a:t>
          </a:r>
          <a:r>
            <a:rPr lang="pt-PT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Vermelha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" e com a mensagem "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ATENÇÃO: Valor Não Conforme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"), deve-se subir um escalão no valor do diâmetro interior normalizado nos ramais com maiores perdas de carga.</a:t>
          </a:r>
        </a:p>
      </xdr:txBody>
    </xdr:sp>
    <xdr:clientData/>
  </xdr:twoCellAnchor>
  <xdr:twoCellAnchor editAs="absolute">
    <xdr:from>
      <xdr:col>9</xdr:col>
      <xdr:colOff>19050</xdr:colOff>
      <xdr:row>55</xdr:row>
      <xdr:rowOff>38935</xdr:rowOff>
    </xdr:from>
    <xdr:to>
      <xdr:col>21</xdr:col>
      <xdr:colOff>38100</xdr:colOff>
      <xdr:row>72</xdr:row>
      <xdr:rowOff>62801</xdr:rowOff>
    </xdr:to>
    <xdr:sp macro="" textlink="">
      <xdr:nvSpPr>
        <xdr:cNvPr id="42057" name="Text Box 73">
          <a:extLst>
            <a:ext uri="{FF2B5EF4-FFF2-40B4-BE49-F238E27FC236}">
              <a16:creationId xmlns:a16="http://schemas.microsoft.com/office/drawing/2014/main" id="{00000000-0008-0000-0800-000049A40000}"/>
            </a:ext>
          </a:extLst>
        </xdr:cNvPr>
        <xdr:cNvSpPr txBox="1">
          <a:spLocks noChangeArrowheads="1"/>
        </xdr:cNvSpPr>
      </xdr:nvSpPr>
      <xdr:spPr bwMode="auto">
        <a:xfrm>
          <a:off x="5298622" y="8789374"/>
          <a:ext cx="6123423" cy="267830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46800" tIns="36000" rIns="46800" bIns="36000" anchor="ctr" upright="1"/>
        <a:lstStyle/>
        <a:p>
          <a:pPr algn="l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10. No bloco de Cálculos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introduzir por cada linha (unicamente nas células a “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azul claro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” e a “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verde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”) as características referentes a cada troço da instalação a dimensionar de forma sequêncial. Este preenchimento pode ser </a:t>
          </a:r>
          <a:r>
            <a:rPr lang="pt-PT" sz="1000" b="0" i="0" u="sng" strike="noStrike" baseline="0">
              <a:solidFill>
                <a:srgbClr val="000000"/>
              </a:solidFill>
              <a:latin typeface="Arial"/>
              <a:cs typeface="Arial"/>
            </a:rPr>
            <a:t>realizado do fim para o início ou a partir do início até ao fim da instalação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sendo que,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o troço crítico finaliza no sprinkler mais afastado da fonte de alimentação, designado por S1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:</a:t>
          </a:r>
        </a:p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Colunas (2)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: Códigos identificativos (letras ou números) atribuídos ao início e fim de cada troço (por ex.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S1, S2, S3,.......,A, B, C,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etc.).</a:t>
          </a:r>
        </a:p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Coluna (3)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: Número de </a:t>
          </a:r>
          <a:r>
            <a:rPr lang="pt-PT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sprinklers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em funcionamento simultâneo abastecidos pelo troço.</a:t>
          </a:r>
        </a:p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Coluna (4)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: Número total de </a:t>
          </a:r>
          <a:r>
            <a:rPr lang="pt-PT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sprinklers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abastecidos pelo troço</a:t>
          </a:r>
          <a:r>
            <a:rPr lang="pt-PT" sz="10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(para consulta automática do </a:t>
          </a:r>
          <a:r>
            <a:rPr lang="pt-PT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Quadro 5</a:t>
          </a:r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pt-PT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.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Caso não preencha esta coluna, é automaticamente assumido que o número total de </a:t>
          </a:r>
          <a:r>
            <a:rPr lang="pt-PT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sprinklers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abastecidos pelo troço é igual ao número de sprinklers em funcionamento. </a:t>
          </a:r>
        </a:p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Coluna (5)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: Comprimento do troço (em metros).</a:t>
          </a:r>
        </a:p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Coluna (6)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: Altura ou desnível do troço (em metros).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O valor da altura ou desnível deve ser positivo se o troço for ascendente e negativo se o troço for descendente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  <a:p>
          <a:pPr algn="l" rtl="0">
            <a:defRPr sz="1000"/>
          </a:pPr>
          <a:endParaRPr lang="pt-PT" sz="4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Atenção: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em relação aos troços contendo sprinklers, introduzir unicamente a informação referente a todos os troços que definem o sub-ramal mais afastado da fonte de alimentação, ou seja, desde o sprinkler </a:t>
          </a:r>
          <a:r>
            <a:rPr lang="pt-PT" sz="1000" b="1" i="0" baseline="0">
              <a:effectLst/>
              <a:latin typeface="Arial" pitchFamily="34" charset="0"/>
              <a:ea typeface="+mn-ea"/>
              <a:cs typeface="Arial" pitchFamily="34" charset="0"/>
            </a:rPr>
            <a:t>S1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até ao sprinkler correspondente ao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nº de sprinklers em funcionamento simultâneo por sub-ramal calculado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(ver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especificação 1.7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no quadro de especificações calculadas).</a:t>
          </a:r>
        </a:p>
      </xdr:txBody>
    </xdr:sp>
    <xdr:clientData/>
  </xdr:twoCellAnchor>
  <xdr:twoCellAnchor editAs="absolute">
    <xdr:from>
      <xdr:col>16</xdr:col>
      <xdr:colOff>581025</xdr:colOff>
      <xdr:row>54</xdr:row>
      <xdr:rowOff>77037</xdr:rowOff>
    </xdr:from>
    <xdr:to>
      <xdr:col>17</xdr:col>
      <xdr:colOff>104775</xdr:colOff>
      <xdr:row>56</xdr:row>
      <xdr:rowOff>21248</xdr:rowOff>
    </xdr:to>
    <xdr:grpSp>
      <xdr:nvGrpSpPr>
        <xdr:cNvPr id="6713336" name="Group 52">
          <a:extLst>
            <a:ext uri="{FF2B5EF4-FFF2-40B4-BE49-F238E27FC236}">
              <a16:creationId xmlns:a16="http://schemas.microsoft.com/office/drawing/2014/main" id="{00000000-0008-0000-0800-0000F86F6600}"/>
            </a:ext>
          </a:extLst>
        </xdr:cNvPr>
        <xdr:cNvGrpSpPr>
          <a:grpSpLocks/>
        </xdr:cNvGrpSpPr>
      </xdr:nvGrpSpPr>
      <xdr:grpSpPr bwMode="auto">
        <a:xfrm>
          <a:off x="8290090" y="8627271"/>
          <a:ext cx="171945" cy="216353"/>
          <a:chOff x="777" y="832"/>
          <a:chExt cx="14" cy="38"/>
        </a:xfrm>
      </xdr:grpSpPr>
      <xdr:sp macro="" textlink="">
        <xdr:nvSpPr>
          <xdr:cNvPr id="6748212" name="AutoShape 53">
            <a:extLst>
              <a:ext uri="{FF2B5EF4-FFF2-40B4-BE49-F238E27FC236}">
                <a16:creationId xmlns:a16="http://schemas.microsoft.com/office/drawing/2014/main" id="{00000000-0008-0000-0800-000034F866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774" y="835"/>
            <a:ext cx="19" cy="14"/>
          </a:xfrm>
          <a:prstGeom prst="homePlate">
            <a:avLst>
              <a:gd name="adj" fmla="val 57145"/>
            </a:avLst>
          </a:pr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748213" name="AutoShape 54">
            <a:extLst>
              <a:ext uri="{FF2B5EF4-FFF2-40B4-BE49-F238E27FC236}">
                <a16:creationId xmlns:a16="http://schemas.microsoft.com/office/drawing/2014/main" id="{00000000-0008-0000-0800-000035F866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773" y="852"/>
            <a:ext cx="22" cy="14"/>
          </a:xfrm>
          <a:prstGeom prst="chevron">
            <a:avLst>
              <a:gd name="adj" fmla="val 39286"/>
            </a:avLst>
          </a:pr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 editAs="absolute">
    <xdr:from>
      <xdr:col>9</xdr:col>
      <xdr:colOff>19050</xdr:colOff>
      <xdr:row>46</xdr:row>
      <xdr:rowOff>76194</xdr:rowOff>
    </xdr:from>
    <xdr:to>
      <xdr:col>21</xdr:col>
      <xdr:colOff>38100</xdr:colOff>
      <xdr:row>54</xdr:row>
      <xdr:rowOff>133596</xdr:rowOff>
    </xdr:to>
    <xdr:sp macro="" textlink="">
      <xdr:nvSpPr>
        <xdr:cNvPr id="42035" name="Text Box 51">
          <a:extLst>
            <a:ext uri="{FF2B5EF4-FFF2-40B4-BE49-F238E27FC236}">
              <a16:creationId xmlns:a16="http://schemas.microsoft.com/office/drawing/2014/main" id="{00000000-0008-0000-0800-000033A40000}"/>
            </a:ext>
          </a:extLst>
        </xdr:cNvPr>
        <xdr:cNvSpPr txBox="1">
          <a:spLocks noChangeArrowheads="1"/>
        </xdr:cNvSpPr>
      </xdr:nvSpPr>
      <xdr:spPr bwMode="auto">
        <a:xfrm>
          <a:off x="5293674" y="7359727"/>
          <a:ext cx="6119998" cy="1324103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46800" tIns="46800" rIns="46800" bIns="46800" anchor="ctr" upright="1"/>
        <a:lstStyle/>
        <a:p>
          <a:pPr marL="0" marR="0" lvl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9. No desenho da Instalação a dimensionar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codificar ou numerar sequencialmente, a partir do </a:t>
          </a:r>
          <a:r>
            <a:rPr lang="pt-PT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sprinkler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mais afastado da fonte de alimentação, </a:t>
          </a:r>
          <a:r>
            <a:rPr lang="pt-PT" sz="1000" b="0" i="0" u="sng" strike="noStrike" baseline="0">
              <a:solidFill>
                <a:srgbClr val="000000"/>
              </a:solidFill>
              <a:latin typeface="Arial"/>
              <a:cs typeface="Arial"/>
            </a:rPr>
            <a:t>designado por </a:t>
          </a:r>
          <a:r>
            <a:rPr lang="pt-PT" sz="1000" b="1" i="0" u="sng" strike="noStrike" baseline="0">
              <a:solidFill>
                <a:srgbClr val="000000"/>
              </a:solidFill>
              <a:latin typeface="Arial"/>
              <a:cs typeface="Arial"/>
            </a:rPr>
            <a:t>S1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todos os </a:t>
          </a:r>
          <a:r>
            <a:rPr lang="pt-PT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sprinklers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em funcionamento simultâneo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</a:t>
          </a:r>
          <a:r>
            <a:rPr lang="pt-PT" sz="1200" b="1" i="0" u="none" strike="noStrike" baseline="-25000">
              <a:solidFill>
                <a:srgbClr val="000000"/>
              </a:solidFill>
              <a:latin typeface="Arial"/>
              <a:cs typeface="Arial"/>
            </a:rPr>
            <a:t>1+i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(por ex. </a:t>
          </a:r>
          <a:r>
            <a:rPr lang="pt-PT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S2, S3,....., S6,</a:t>
          </a:r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etc.)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que pertencem ao sub-ramal mais crítico,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em coerência com o limite estabelecido na especificação 1.7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 No caso deste limite proposto por defeito não se adequar ao desenho da instalação, impor um valor adequado</a:t>
          </a:r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</a:p>
        <a:p>
          <a:pPr algn="just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Continuar a codificação tipo </a:t>
          </a:r>
          <a:r>
            <a:rPr lang="pt-PT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</a:t>
          </a:r>
          <a:r>
            <a:rPr lang="pt-PT" sz="1000" b="1" i="0" baseline="-25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1+i</a:t>
          </a:r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(por ex. </a:t>
          </a:r>
          <a:r>
            <a:rPr lang="pt-PT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S7, S8,....., S12,</a:t>
          </a:r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etc.)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dos restantes </a:t>
          </a:r>
          <a:r>
            <a:rPr lang="pt-PT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sprinklers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em funcionamento simultâneo até ao limite estabelecido na especificação 1.6 e também codificar todos os nós até à fonte de alimentação da instalação (por ex.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 , B, C,....,F,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etc.).</a:t>
          </a:r>
        </a:p>
      </xdr:txBody>
    </xdr:sp>
    <xdr:clientData/>
  </xdr:twoCellAnchor>
  <xdr:twoCellAnchor editAs="absolute">
    <xdr:from>
      <xdr:col>16</xdr:col>
      <xdr:colOff>581025</xdr:colOff>
      <xdr:row>45</xdr:row>
      <xdr:rowOff>112415</xdr:rowOff>
    </xdr:from>
    <xdr:to>
      <xdr:col>17</xdr:col>
      <xdr:colOff>104775</xdr:colOff>
      <xdr:row>47</xdr:row>
      <xdr:rowOff>7641</xdr:rowOff>
    </xdr:to>
    <xdr:grpSp>
      <xdr:nvGrpSpPr>
        <xdr:cNvPr id="6713338" name="Group 55">
          <a:extLst>
            <a:ext uri="{FF2B5EF4-FFF2-40B4-BE49-F238E27FC236}">
              <a16:creationId xmlns:a16="http://schemas.microsoft.com/office/drawing/2014/main" id="{00000000-0008-0000-0800-0000FA6F6600}"/>
            </a:ext>
          </a:extLst>
        </xdr:cNvPr>
        <xdr:cNvGrpSpPr>
          <a:grpSpLocks/>
        </xdr:cNvGrpSpPr>
      </xdr:nvGrpSpPr>
      <xdr:grpSpPr bwMode="auto">
        <a:xfrm>
          <a:off x="8290090" y="7237610"/>
          <a:ext cx="171945" cy="211901"/>
          <a:chOff x="777" y="832"/>
          <a:chExt cx="14" cy="38"/>
        </a:xfrm>
      </xdr:grpSpPr>
      <xdr:sp macro="" textlink="">
        <xdr:nvSpPr>
          <xdr:cNvPr id="6748210" name="AutoShape 56">
            <a:extLst>
              <a:ext uri="{FF2B5EF4-FFF2-40B4-BE49-F238E27FC236}">
                <a16:creationId xmlns:a16="http://schemas.microsoft.com/office/drawing/2014/main" id="{00000000-0008-0000-0800-000032F866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774" y="835"/>
            <a:ext cx="19" cy="14"/>
          </a:xfrm>
          <a:prstGeom prst="homePlate">
            <a:avLst>
              <a:gd name="adj" fmla="val 57145"/>
            </a:avLst>
          </a:pr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748211" name="AutoShape 57">
            <a:extLst>
              <a:ext uri="{FF2B5EF4-FFF2-40B4-BE49-F238E27FC236}">
                <a16:creationId xmlns:a16="http://schemas.microsoft.com/office/drawing/2014/main" id="{00000000-0008-0000-0800-000033F866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773" y="852"/>
            <a:ext cx="22" cy="14"/>
          </a:xfrm>
          <a:prstGeom prst="chevron">
            <a:avLst>
              <a:gd name="adj" fmla="val 39286"/>
            </a:avLst>
          </a:pr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 editAs="absolute">
    <xdr:from>
      <xdr:col>9</xdr:col>
      <xdr:colOff>514350</xdr:colOff>
      <xdr:row>0</xdr:row>
      <xdr:rowOff>85725</xdr:rowOff>
    </xdr:from>
    <xdr:to>
      <xdr:col>20</xdr:col>
      <xdr:colOff>400050</xdr:colOff>
      <xdr:row>3</xdr:row>
      <xdr:rowOff>85725</xdr:rowOff>
    </xdr:to>
    <xdr:sp macro="" textlink="">
      <xdr:nvSpPr>
        <xdr:cNvPr id="42014" name="AutoShape 30">
          <a:extLst>
            <a:ext uri="{FF2B5EF4-FFF2-40B4-BE49-F238E27FC236}">
              <a16:creationId xmlns:a16="http://schemas.microsoft.com/office/drawing/2014/main" id="{00000000-0008-0000-0800-00001EA40000}"/>
            </a:ext>
          </a:extLst>
        </xdr:cNvPr>
        <xdr:cNvSpPr>
          <a:spLocks noChangeArrowheads="1"/>
        </xdr:cNvSpPr>
      </xdr:nvSpPr>
      <xdr:spPr bwMode="auto">
        <a:xfrm>
          <a:off x="5476875" y="85725"/>
          <a:ext cx="4476750" cy="485775"/>
        </a:xfrm>
        <a:prstGeom prst="flowChartPreparation">
          <a:avLst/>
        </a:prstGeom>
        <a:gradFill rotWithShape="0">
          <a:gsLst>
            <a:gs pos="0">
              <a:srgbClr val="800000"/>
            </a:gs>
            <a:gs pos="100000">
              <a:srgbClr val="FF6600"/>
            </a:gs>
          </a:gsLst>
          <a:lin ang="5400000" scaled="1"/>
        </a:gra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pt-PT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Dimensionamento de</a:t>
          </a:r>
        </a:p>
        <a:p>
          <a:pPr algn="ctr" rtl="0">
            <a:defRPr sz="1000"/>
          </a:pPr>
          <a:r>
            <a:rPr lang="pt-PT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Redes de </a:t>
          </a:r>
          <a:r>
            <a:rPr lang="pt-PT" sz="1400" b="1" i="1" u="none" strike="noStrike" baseline="0">
              <a:solidFill>
                <a:srgbClr val="FFFFFF"/>
              </a:solidFill>
              <a:latin typeface="Arial"/>
              <a:cs typeface="Arial"/>
            </a:rPr>
            <a:t>Sprinklers</a:t>
          </a:r>
        </a:p>
      </xdr:txBody>
    </xdr:sp>
    <xdr:clientData/>
  </xdr:twoCellAnchor>
  <xdr:twoCellAnchor editAs="absolute">
    <xdr:from>
      <xdr:col>9</xdr:col>
      <xdr:colOff>0</xdr:colOff>
      <xdr:row>3</xdr:row>
      <xdr:rowOff>123825</xdr:rowOff>
    </xdr:from>
    <xdr:to>
      <xdr:col>21</xdr:col>
      <xdr:colOff>19050</xdr:colOff>
      <xdr:row>8</xdr:row>
      <xdr:rowOff>66675</xdr:rowOff>
    </xdr:to>
    <xdr:sp macro="" textlink="">
      <xdr:nvSpPr>
        <xdr:cNvPr id="42015" name="Text Box 31">
          <a:extLst>
            <a:ext uri="{FF2B5EF4-FFF2-40B4-BE49-F238E27FC236}">
              <a16:creationId xmlns:a16="http://schemas.microsoft.com/office/drawing/2014/main" id="{00000000-0008-0000-0800-00001FA40000}"/>
            </a:ext>
          </a:extLst>
        </xdr:cNvPr>
        <xdr:cNvSpPr txBox="1">
          <a:spLocks noChangeArrowheads="1"/>
        </xdr:cNvSpPr>
      </xdr:nvSpPr>
      <xdr:spPr bwMode="auto">
        <a:xfrm>
          <a:off x="4962525" y="609600"/>
          <a:ext cx="5762625" cy="752475"/>
        </a:xfrm>
        <a:prstGeom prst="rect">
          <a:avLst/>
        </a:prstGeom>
        <a:solidFill>
          <a:srgbClr val="EAEAEA"/>
        </a:solidFill>
        <a:ln w="9525">
          <a:noFill/>
          <a:miter lim="800000"/>
          <a:headEnd/>
          <a:tailEnd/>
        </a:ln>
      </xdr:spPr>
      <xdr:txBody>
        <a:bodyPr vertOverflow="clip" wrap="square" lIns="36000" tIns="46800" rIns="36000" bIns="46800" anchor="ctr" upright="1"/>
        <a:lstStyle/>
        <a:p>
          <a:pPr algn="l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1.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Abrir o ficheiro "Excel": "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APTA-RI Sprinklers-Dimensionamento de Instalações Aço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". </a:t>
          </a:r>
        </a:p>
        <a:p>
          <a:pPr algn="l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2.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Seleccionar a folha com o título "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Cálc. Sist. Extinção Automática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".</a:t>
          </a:r>
        </a:p>
        <a:p>
          <a:pPr algn="l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3.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Premir as teclas "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Control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" e "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L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" ou o botão "</a:t>
          </a:r>
          <a:r>
            <a:rPr lang="pt-PT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Limpar todos os dados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",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efectuando-se      </a:t>
          </a:r>
        </a:p>
        <a:p>
          <a:pPr algn="l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uma limpeza global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 folha de cálculo (eliminando dados de utilizações anteriores).</a:t>
          </a:r>
        </a:p>
      </xdr:txBody>
    </xdr:sp>
    <xdr:clientData/>
  </xdr:twoCellAnchor>
  <xdr:twoCellAnchor editAs="absolute">
    <xdr:from>
      <xdr:col>9</xdr:col>
      <xdr:colOff>0</xdr:colOff>
      <xdr:row>8</xdr:row>
      <xdr:rowOff>114300</xdr:rowOff>
    </xdr:from>
    <xdr:to>
      <xdr:col>21</xdr:col>
      <xdr:colOff>19050</xdr:colOff>
      <xdr:row>11</xdr:row>
      <xdr:rowOff>28575</xdr:rowOff>
    </xdr:to>
    <xdr:sp macro="" textlink="">
      <xdr:nvSpPr>
        <xdr:cNvPr id="42016" name="Text Box 32">
          <a:extLst>
            <a:ext uri="{FF2B5EF4-FFF2-40B4-BE49-F238E27FC236}">
              <a16:creationId xmlns:a16="http://schemas.microsoft.com/office/drawing/2014/main" id="{00000000-0008-0000-0800-000020A40000}"/>
            </a:ext>
          </a:extLst>
        </xdr:cNvPr>
        <xdr:cNvSpPr txBox="1">
          <a:spLocks noChangeArrowheads="1"/>
        </xdr:cNvSpPr>
      </xdr:nvSpPr>
      <xdr:spPr bwMode="auto">
        <a:xfrm>
          <a:off x="4962525" y="1409700"/>
          <a:ext cx="5762625" cy="40005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36000" tIns="46800" rIns="36000" bIns="46800" anchor="ctr" upright="1"/>
        <a:lstStyle/>
        <a:p>
          <a:pPr algn="just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4.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(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Opcional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): Identificar o dimensionamento em causa, preenchendo os seguintes campos do  </a:t>
          </a:r>
        </a:p>
        <a:p>
          <a:pPr algn="just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cabeçalho: "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Ref.ª"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, "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Descrição"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e "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Data"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twoCellAnchor>
  <xdr:twoCellAnchor editAs="absolute">
    <xdr:from>
      <xdr:col>1</xdr:col>
      <xdr:colOff>123825</xdr:colOff>
      <xdr:row>0</xdr:row>
      <xdr:rowOff>142875</xdr:rowOff>
    </xdr:from>
    <xdr:to>
      <xdr:col>8</xdr:col>
      <xdr:colOff>342900</xdr:colOff>
      <xdr:row>3</xdr:row>
      <xdr:rowOff>47625</xdr:rowOff>
    </xdr:to>
    <xdr:grpSp>
      <xdr:nvGrpSpPr>
        <xdr:cNvPr id="6713342" name="Group 62">
          <a:extLst>
            <a:ext uri="{FF2B5EF4-FFF2-40B4-BE49-F238E27FC236}">
              <a16:creationId xmlns:a16="http://schemas.microsoft.com/office/drawing/2014/main" id="{00000000-0008-0000-0800-0000FE6F6600}"/>
            </a:ext>
          </a:extLst>
        </xdr:cNvPr>
        <xdr:cNvGrpSpPr>
          <a:grpSpLocks/>
        </xdr:cNvGrpSpPr>
      </xdr:nvGrpSpPr>
      <xdr:grpSpPr bwMode="auto">
        <a:xfrm>
          <a:off x="232682" y="142875"/>
          <a:ext cx="4736646" cy="379763"/>
          <a:chOff x="139" y="380"/>
          <a:chExt cx="469" cy="41"/>
        </a:xfrm>
      </xdr:grpSpPr>
      <xdr:sp macro="" textlink="">
        <xdr:nvSpPr>
          <xdr:cNvPr id="41996" name="Text Box 12">
            <a:extLst>
              <a:ext uri="{FF2B5EF4-FFF2-40B4-BE49-F238E27FC236}">
                <a16:creationId xmlns:a16="http://schemas.microsoft.com/office/drawing/2014/main" id="{00000000-0008-0000-0800-00000CA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9" y="380"/>
            <a:ext cx="335" cy="41"/>
          </a:xfrm>
          <a:prstGeom prst="rect">
            <a:avLst/>
          </a:prstGeom>
          <a:gradFill rotWithShape="0">
            <a:gsLst>
              <a:gs pos="0">
                <a:srgbClr val="800000"/>
              </a:gs>
              <a:gs pos="100000">
                <a:srgbClr val="FF6600"/>
              </a:gs>
            </a:gsLst>
            <a:lin ang="5400000" scaled="1"/>
          </a:gra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45720" tIns="41148" rIns="0" bIns="0" anchor="t" upright="1"/>
          <a:lstStyle/>
          <a:p>
            <a:pPr algn="l" rtl="0">
              <a:defRPr sz="1000"/>
            </a:pPr>
            <a:r>
              <a:rPr lang="pt-PT" sz="20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Instruções de utilização</a:t>
            </a:r>
            <a:r>
              <a:rPr lang="pt-PT" sz="18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1997" name="Text Box 13">
            <a:extLst>
              <a:ext uri="{FF2B5EF4-FFF2-40B4-BE49-F238E27FC236}">
                <a16:creationId xmlns:a16="http://schemas.microsoft.com/office/drawing/2014/main" id="{00000000-0008-0000-0800-00000DA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79" y="392"/>
            <a:ext cx="129" cy="29"/>
          </a:xfrm>
          <a:prstGeom prst="rect">
            <a:avLst/>
          </a:prstGeom>
          <a:gradFill rotWithShape="0">
            <a:gsLst>
              <a:gs pos="0">
                <a:srgbClr val="800000"/>
              </a:gs>
              <a:gs pos="100000">
                <a:srgbClr val="FF6600"/>
              </a:gs>
            </a:gsLst>
            <a:lin ang="5400000" scaled="1"/>
          </a:gra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46800" tIns="46800" rIns="46800" bIns="46800" anchor="t" upright="1"/>
          <a:lstStyle/>
          <a:p>
            <a:pPr algn="ctr" rtl="0">
              <a:defRPr sz="1000"/>
            </a:pPr>
            <a:r>
              <a:rPr lang="pt-PT" sz="12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2024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</a:t>
            </a:r>
            <a:r>
              <a:rPr lang="pt-PT" sz="9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/ Versão 0</a:t>
            </a:r>
          </a:p>
        </xdr:txBody>
      </xdr:sp>
    </xdr:grpSp>
    <xdr:clientData/>
  </xdr:twoCellAnchor>
  <xdr:twoCellAnchor editAs="absolute">
    <xdr:from>
      <xdr:col>1</xdr:col>
      <xdr:colOff>133350</xdr:colOff>
      <xdr:row>4</xdr:row>
      <xdr:rowOff>57150</xdr:rowOff>
    </xdr:from>
    <xdr:to>
      <xdr:col>8</xdr:col>
      <xdr:colOff>352425</xdr:colOff>
      <xdr:row>6</xdr:row>
      <xdr:rowOff>0</xdr:rowOff>
    </xdr:to>
    <xdr:sp macro="" textlink="">
      <xdr:nvSpPr>
        <xdr:cNvPr id="42020" name="Text Box 36">
          <a:extLst>
            <a:ext uri="{FF2B5EF4-FFF2-40B4-BE49-F238E27FC236}">
              <a16:creationId xmlns:a16="http://schemas.microsoft.com/office/drawing/2014/main" id="{00000000-0008-0000-0800-000024A40000}"/>
            </a:ext>
          </a:extLst>
        </xdr:cNvPr>
        <xdr:cNvSpPr txBox="1">
          <a:spLocks noChangeArrowheads="1"/>
        </xdr:cNvSpPr>
      </xdr:nvSpPr>
      <xdr:spPr bwMode="auto">
        <a:xfrm>
          <a:off x="238125" y="704850"/>
          <a:ext cx="4467225" cy="266700"/>
        </a:xfrm>
        <a:prstGeom prst="rect">
          <a:avLst/>
        </a:prstGeom>
        <a:solidFill>
          <a:schemeClr val="accent2">
            <a:lumMod val="5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100" b="1" i="0" u="none" strike="noStrike" baseline="0">
              <a:solidFill>
                <a:srgbClr val="FFFFFF"/>
              </a:solidFill>
              <a:latin typeface="Arial"/>
              <a:cs typeface="Arial"/>
            </a:rPr>
            <a:t>O ficheiro de cálculo "Excel" contém as seguintes  folhas:</a:t>
          </a:r>
        </a:p>
      </xdr:txBody>
    </xdr:sp>
    <xdr:clientData/>
  </xdr:twoCellAnchor>
  <xdr:twoCellAnchor editAs="absolute">
    <xdr:from>
      <xdr:col>1</xdr:col>
      <xdr:colOff>228600</xdr:colOff>
      <xdr:row>6</xdr:row>
      <xdr:rowOff>47625</xdr:rowOff>
    </xdr:from>
    <xdr:to>
      <xdr:col>8</xdr:col>
      <xdr:colOff>304800</xdr:colOff>
      <xdr:row>9</xdr:row>
      <xdr:rowOff>142875</xdr:rowOff>
    </xdr:to>
    <xdr:sp macro="" textlink="">
      <xdr:nvSpPr>
        <xdr:cNvPr id="42021" name="Text Box 37">
          <a:extLst>
            <a:ext uri="{FF2B5EF4-FFF2-40B4-BE49-F238E27FC236}">
              <a16:creationId xmlns:a16="http://schemas.microsoft.com/office/drawing/2014/main" id="{00000000-0008-0000-0800-000025A40000}"/>
            </a:ext>
          </a:extLst>
        </xdr:cNvPr>
        <xdr:cNvSpPr txBox="1">
          <a:spLocks noChangeArrowheads="1"/>
        </xdr:cNvSpPr>
      </xdr:nvSpPr>
      <xdr:spPr bwMode="auto">
        <a:xfrm>
          <a:off x="333375" y="1019175"/>
          <a:ext cx="4324350" cy="581025"/>
        </a:xfrm>
        <a:prstGeom prst="rect">
          <a:avLst/>
        </a:prstGeom>
        <a:solidFill>
          <a:srgbClr val="EAEAEA"/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just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1. "Cálc. Sist. Extinção Automática":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Dimensionamento de Instalações de Segurança Contra Incêndios do tipo: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Extinção Automática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Redes de </a:t>
          </a:r>
          <a:r>
            <a:rPr lang="pt-PT" sz="1000" b="1" i="1" u="none" strike="noStrike" baseline="0">
              <a:solidFill>
                <a:srgbClr val="000000"/>
              </a:solidFill>
              <a:latin typeface="Arial"/>
              <a:cs typeface="Arial"/>
            </a:rPr>
            <a:t>Sprinklers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Húmida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r>
            <a:rPr lang="pt-PT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 editAs="absolute">
    <xdr:from>
      <xdr:col>1</xdr:col>
      <xdr:colOff>228600</xdr:colOff>
      <xdr:row>12</xdr:row>
      <xdr:rowOff>19050</xdr:rowOff>
    </xdr:from>
    <xdr:to>
      <xdr:col>8</xdr:col>
      <xdr:colOff>304800</xdr:colOff>
      <xdr:row>15</xdr:row>
      <xdr:rowOff>0</xdr:rowOff>
    </xdr:to>
    <xdr:sp macro="" textlink="">
      <xdr:nvSpPr>
        <xdr:cNvPr id="42022" name="Text Box 38">
          <a:extLst>
            <a:ext uri="{FF2B5EF4-FFF2-40B4-BE49-F238E27FC236}">
              <a16:creationId xmlns:a16="http://schemas.microsoft.com/office/drawing/2014/main" id="{00000000-0008-0000-0800-000026A40000}"/>
            </a:ext>
          </a:extLst>
        </xdr:cNvPr>
        <xdr:cNvSpPr txBox="1">
          <a:spLocks noChangeArrowheads="1"/>
        </xdr:cNvSpPr>
      </xdr:nvSpPr>
      <xdr:spPr bwMode="auto">
        <a:xfrm>
          <a:off x="333375" y="1962150"/>
          <a:ext cx="4324350" cy="466725"/>
        </a:xfrm>
        <a:prstGeom prst="rect">
          <a:avLst/>
        </a:prstGeom>
        <a:solidFill>
          <a:srgbClr val="EAEAEA"/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3. "Quadro 1":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Gama de Tubos de Aço para canalizações, conformes as normas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NP EN 10255 e NP EN 10240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twoCellAnchor>
  <xdr:twoCellAnchor editAs="absolute">
    <xdr:from>
      <xdr:col>1</xdr:col>
      <xdr:colOff>228600</xdr:colOff>
      <xdr:row>34</xdr:row>
      <xdr:rowOff>38100</xdr:rowOff>
    </xdr:from>
    <xdr:to>
      <xdr:col>8</xdr:col>
      <xdr:colOff>304800</xdr:colOff>
      <xdr:row>38</xdr:row>
      <xdr:rowOff>19050</xdr:rowOff>
    </xdr:to>
    <xdr:sp macro="" textlink="">
      <xdr:nvSpPr>
        <xdr:cNvPr id="42023" name="Text Box 39">
          <a:extLst>
            <a:ext uri="{FF2B5EF4-FFF2-40B4-BE49-F238E27FC236}">
              <a16:creationId xmlns:a16="http://schemas.microsoft.com/office/drawing/2014/main" id="{00000000-0008-0000-0800-000027A40000}"/>
            </a:ext>
          </a:extLst>
        </xdr:cNvPr>
        <xdr:cNvSpPr txBox="1">
          <a:spLocks noChangeArrowheads="1"/>
        </xdr:cNvSpPr>
      </xdr:nvSpPr>
      <xdr:spPr bwMode="auto">
        <a:xfrm>
          <a:off x="333375" y="5543550"/>
          <a:ext cx="4324350" cy="628650"/>
        </a:xfrm>
        <a:prstGeom prst="rect">
          <a:avLst/>
        </a:prstGeom>
        <a:solidFill>
          <a:srgbClr val="EAEAEA"/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just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10. "Procedimento":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Procedimento informativo de dimensionamento de Instalações de Segurança Contra Incêndios do tipo: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Extinção Automática - Rede de Sprinklers Húmida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twoCellAnchor>
  <xdr:twoCellAnchor editAs="absolute">
    <xdr:from>
      <xdr:col>1</xdr:col>
      <xdr:colOff>228600</xdr:colOff>
      <xdr:row>32</xdr:row>
      <xdr:rowOff>47625</xdr:rowOff>
    </xdr:from>
    <xdr:to>
      <xdr:col>8</xdr:col>
      <xdr:colOff>304800</xdr:colOff>
      <xdr:row>33</xdr:row>
      <xdr:rowOff>152400</xdr:rowOff>
    </xdr:to>
    <xdr:sp macro="" textlink="">
      <xdr:nvSpPr>
        <xdr:cNvPr id="42024" name="Text Box 40">
          <a:extLst>
            <a:ext uri="{FF2B5EF4-FFF2-40B4-BE49-F238E27FC236}">
              <a16:creationId xmlns:a16="http://schemas.microsoft.com/office/drawing/2014/main" id="{00000000-0008-0000-0800-000028A40000}"/>
            </a:ext>
          </a:extLst>
        </xdr:cNvPr>
        <xdr:cNvSpPr txBox="1">
          <a:spLocks noChangeArrowheads="1"/>
        </xdr:cNvSpPr>
      </xdr:nvSpPr>
      <xdr:spPr bwMode="auto">
        <a:xfrm>
          <a:off x="333375" y="5229225"/>
          <a:ext cx="4324350" cy="266700"/>
        </a:xfrm>
        <a:prstGeom prst="rect">
          <a:avLst/>
        </a:prstGeom>
        <a:solidFill>
          <a:srgbClr val="EAEAEA"/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9. "Instruções":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Instruções de utilização desta aplicação de cálculo. </a:t>
          </a:r>
        </a:p>
      </xdr:txBody>
    </xdr:sp>
    <xdr:clientData/>
  </xdr:twoCellAnchor>
  <xdr:twoCellAnchor editAs="absolute">
    <xdr:from>
      <xdr:col>1</xdr:col>
      <xdr:colOff>133350</xdr:colOff>
      <xdr:row>4</xdr:row>
      <xdr:rowOff>76200</xdr:rowOff>
    </xdr:from>
    <xdr:to>
      <xdr:col>1</xdr:col>
      <xdr:colOff>180975</xdr:colOff>
      <xdr:row>38</xdr:row>
      <xdr:rowOff>104775</xdr:rowOff>
    </xdr:to>
    <xdr:sp macro="" textlink="">
      <xdr:nvSpPr>
        <xdr:cNvPr id="6748164" name="Rectangle 41">
          <a:extLst>
            <a:ext uri="{FF2B5EF4-FFF2-40B4-BE49-F238E27FC236}">
              <a16:creationId xmlns:a16="http://schemas.microsoft.com/office/drawing/2014/main" id="{00000000-0008-0000-0800-000004F86600}"/>
            </a:ext>
          </a:extLst>
        </xdr:cNvPr>
        <xdr:cNvSpPr>
          <a:spLocks noChangeArrowheads="1"/>
        </xdr:cNvSpPr>
      </xdr:nvSpPr>
      <xdr:spPr bwMode="auto">
        <a:xfrm>
          <a:off x="238125" y="723900"/>
          <a:ext cx="47625" cy="5534025"/>
        </a:xfrm>
        <a:prstGeom prst="rect">
          <a:avLst/>
        </a:prstGeom>
        <a:solidFill>
          <a:schemeClr val="accent2">
            <a:lumMod val="50000"/>
          </a:schemeClr>
        </a:solidFill>
        <a:ln>
          <a:noFill/>
        </a:ln>
      </xdr:spPr>
    </xdr:sp>
    <xdr:clientData/>
  </xdr:twoCellAnchor>
  <xdr:twoCellAnchor editAs="absolute">
    <xdr:from>
      <xdr:col>1</xdr:col>
      <xdr:colOff>133350</xdr:colOff>
      <xdr:row>38</xdr:row>
      <xdr:rowOff>76200</xdr:rowOff>
    </xdr:from>
    <xdr:to>
      <xdr:col>8</xdr:col>
      <xdr:colOff>352425</xdr:colOff>
      <xdr:row>40</xdr:row>
      <xdr:rowOff>19050</xdr:rowOff>
    </xdr:to>
    <xdr:sp macro="" textlink="">
      <xdr:nvSpPr>
        <xdr:cNvPr id="42026" name="Text Box 42">
          <a:extLst>
            <a:ext uri="{FF2B5EF4-FFF2-40B4-BE49-F238E27FC236}">
              <a16:creationId xmlns:a16="http://schemas.microsoft.com/office/drawing/2014/main" id="{00000000-0008-0000-0800-00002AA40000}"/>
            </a:ext>
          </a:extLst>
        </xdr:cNvPr>
        <xdr:cNvSpPr txBox="1">
          <a:spLocks noChangeArrowheads="1"/>
        </xdr:cNvSpPr>
      </xdr:nvSpPr>
      <xdr:spPr bwMode="auto">
        <a:xfrm>
          <a:off x="238125" y="6229350"/>
          <a:ext cx="4467225" cy="266700"/>
        </a:xfrm>
        <a:prstGeom prst="rect">
          <a:avLst/>
        </a:prstGeom>
        <a:solidFill>
          <a:schemeClr val="accent2">
            <a:lumMod val="5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As células de introdução de dados são identificadas do seguinte modo:</a:t>
          </a:r>
        </a:p>
      </xdr:txBody>
    </xdr:sp>
    <xdr:clientData/>
  </xdr:twoCellAnchor>
  <xdr:twoCellAnchor editAs="absolute">
    <xdr:from>
      <xdr:col>1</xdr:col>
      <xdr:colOff>419100</xdr:colOff>
      <xdr:row>40</xdr:row>
      <xdr:rowOff>57150</xdr:rowOff>
    </xdr:from>
    <xdr:to>
      <xdr:col>8</xdr:col>
      <xdr:colOff>333375</xdr:colOff>
      <xdr:row>41</xdr:row>
      <xdr:rowOff>142875</xdr:rowOff>
    </xdr:to>
    <xdr:sp macro="" textlink="">
      <xdr:nvSpPr>
        <xdr:cNvPr id="42027" name="Text Box 43">
          <a:extLst>
            <a:ext uri="{FF2B5EF4-FFF2-40B4-BE49-F238E27FC236}">
              <a16:creationId xmlns:a16="http://schemas.microsoft.com/office/drawing/2014/main" id="{00000000-0008-0000-0800-00002BA40000}"/>
            </a:ext>
          </a:extLst>
        </xdr:cNvPr>
        <xdr:cNvSpPr txBox="1">
          <a:spLocks noChangeArrowheads="1"/>
        </xdr:cNvSpPr>
      </xdr:nvSpPr>
      <xdr:spPr bwMode="auto">
        <a:xfrm>
          <a:off x="523875" y="6534150"/>
          <a:ext cx="4162425" cy="24765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Verde Claro: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Células de introdução de dados de entrada ou decisões.</a:t>
          </a:r>
          <a:r>
            <a:rPr lang="pt-PT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 editAs="absolute">
    <xdr:from>
      <xdr:col>1</xdr:col>
      <xdr:colOff>419100</xdr:colOff>
      <xdr:row>42</xdr:row>
      <xdr:rowOff>28575</xdr:rowOff>
    </xdr:from>
    <xdr:to>
      <xdr:col>8</xdr:col>
      <xdr:colOff>332550</xdr:colOff>
      <xdr:row>43</xdr:row>
      <xdr:rowOff>123825</xdr:rowOff>
    </xdr:to>
    <xdr:sp macro="" textlink="">
      <xdr:nvSpPr>
        <xdr:cNvPr id="42028" name="Text Box 44">
          <a:extLst>
            <a:ext uri="{FF2B5EF4-FFF2-40B4-BE49-F238E27FC236}">
              <a16:creationId xmlns:a16="http://schemas.microsoft.com/office/drawing/2014/main" id="{00000000-0008-0000-0800-00002CA40000}"/>
            </a:ext>
          </a:extLst>
        </xdr:cNvPr>
        <xdr:cNvSpPr txBox="1">
          <a:spLocks noChangeArrowheads="1"/>
        </xdr:cNvSpPr>
      </xdr:nvSpPr>
      <xdr:spPr bwMode="auto">
        <a:xfrm>
          <a:off x="523875" y="6829425"/>
          <a:ext cx="4161600" cy="25717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Azul Claro   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Células de introdução de dados obtidos no desenho.</a:t>
          </a:r>
          <a:r>
            <a:rPr lang="pt-PT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 editAs="absolute">
    <xdr:from>
      <xdr:col>1</xdr:col>
      <xdr:colOff>228600</xdr:colOff>
      <xdr:row>15</xdr:row>
      <xdr:rowOff>28575</xdr:rowOff>
    </xdr:from>
    <xdr:to>
      <xdr:col>8</xdr:col>
      <xdr:colOff>304800</xdr:colOff>
      <xdr:row>19</xdr:row>
      <xdr:rowOff>47625</xdr:rowOff>
    </xdr:to>
    <xdr:sp macro="" textlink="">
      <xdr:nvSpPr>
        <xdr:cNvPr id="42042" name="Text Box 58">
          <a:extLst>
            <a:ext uri="{FF2B5EF4-FFF2-40B4-BE49-F238E27FC236}">
              <a16:creationId xmlns:a16="http://schemas.microsoft.com/office/drawing/2014/main" id="{00000000-0008-0000-0800-00003AA40000}"/>
            </a:ext>
          </a:extLst>
        </xdr:cNvPr>
        <xdr:cNvSpPr txBox="1">
          <a:spLocks noChangeArrowheads="1"/>
        </xdr:cNvSpPr>
      </xdr:nvSpPr>
      <xdr:spPr bwMode="auto">
        <a:xfrm>
          <a:off x="333375" y="2457450"/>
          <a:ext cx="4324350" cy="666750"/>
        </a:xfrm>
        <a:prstGeom prst="rect">
          <a:avLst/>
        </a:prstGeom>
        <a:solidFill>
          <a:srgbClr val="EAEAEA"/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just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4. "Quadro 2":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Gama de Acessórios Roscados em Ferro Fundido Maleável, símbolo de projecto A, conformes a norma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NP EN 10242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 respectivos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Comprimentos Equivalentes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(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L</a:t>
          </a:r>
          <a:r>
            <a:rPr lang="pt-PT" sz="1100" b="0" i="0" u="none" strike="noStrike" baseline="-25000">
              <a:solidFill>
                <a:srgbClr val="000000"/>
              </a:solidFill>
              <a:latin typeface="Arial"/>
              <a:cs typeface="Arial"/>
            </a:rPr>
            <a:t>eq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).</a:t>
          </a:r>
        </a:p>
      </xdr:txBody>
    </xdr:sp>
    <xdr:clientData/>
  </xdr:twoCellAnchor>
  <xdr:twoCellAnchor editAs="absolute">
    <xdr:from>
      <xdr:col>1</xdr:col>
      <xdr:colOff>228600</xdr:colOff>
      <xdr:row>19</xdr:row>
      <xdr:rowOff>104775</xdr:rowOff>
    </xdr:from>
    <xdr:to>
      <xdr:col>8</xdr:col>
      <xdr:colOff>304800</xdr:colOff>
      <xdr:row>22</xdr:row>
      <xdr:rowOff>76200</xdr:rowOff>
    </xdr:to>
    <xdr:sp macro="" textlink="">
      <xdr:nvSpPr>
        <xdr:cNvPr id="42043" name="Text Box 59">
          <a:extLst>
            <a:ext uri="{FF2B5EF4-FFF2-40B4-BE49-F238E27FC236}">
              <a16:creationId xmlns:a16="http://schemas.microsoft.com/office/drawing/2014/main" id="{00000000-0008-0000-0800-00003BA40000}"/>
            </a:ext>
          </a:extLst>
        </xdr:cNvPr>
        <xdr:cNvSpPr txBox="1">
          <a:spLocks noChangeArrowheads="1"/>
        </xdr:cNvSpPr>
      </xdr:nvSpPr>
      <xdr:spPr bwMode="auto">
        <a:xfrm>
          <a:off x="333375" y="3181350"/>
          <a:ext cx="4324350" cy="457200"/>
        </a:xfrm>
        <a:prstGeom prst="rect">
          <a:avLst/>
        </a:prstGeom>
        <a:solidFill>
          <a:srgbClr val="EAEAEA"/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5. "Quadros 3 a 5":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Parâmetros de dimensionamento em função da Utilização Tipo - critérios RTSCIE.</a:t>
          </a:r>
        </a:p>
      </xdr:txBody>
    </xdr:sp>
    <xdr:clientData/>
  </xdr:twoCellAnchor>
  <xdr:twoCellAnchor editAs="absolute">
    <xdr:from>
      <xdr:col>1</xdr:col>
      <xdr:colOff>228600</xdr:colOff>
      <xdr:row>29</xdr:row>
      <xdr:rowOff>9525</xdr:rowOff>
    </xdr:from>
    <xdr:to>
      <xdr:col>8</xdr:col>
      <xdr:colOff>304800</xdr:colOff>
      <xdr:row>31</xdr:row>
      <xdr:rowOff>142875</xdr:rowOff>
    </xdr:to>
    <xdr:sp macro="" textlink="">
      <xdr:nvSpPr>
        <xdr:cNvPr id="42044" name="Text Box 60">
          <a:extLst>
            <a:ext uri="{FF2B5EF4-FFF2-40B4-BE49-F238E27FC236}">
              <a16:creationId xmlns:a16="http://schemas.microsoft.com/office/drawing/2014/main" id="{00000000-0008-0000-0800-00003CA40000}"/>
            </a:ext>
          </a:extLst>
        </xdr:cNvPr>
        <xdr:cNvSpPr txBox="1">
          <a:spLocks noChangeArrowheads="1"/>
        </xdr:cNvSpPr>
      </xdr:nvSpPr>
      <xdr:spPr bwMode="auto">
        <a:xfrm>
          <a:off x="333375" y="4705350"/>
          <a:ext cx="4324350" cy="457200"/>
        </a:xfrm>
        <a:prstGeom prst="rect">
          <a:avLst/>
        </a:prstGeom>
        <a:solidFill>
          <a:srgbClr val="EAEAEA"/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8. "Gráficos 1 e 2":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Curvas de densidade dos </a:t>
          </a:r>
          <a:r>
            <a:rPr lang="pt-PT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sprinklers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em função da Classe de Risco.</a:t>
          </a:r>
        </a:p>
      </xdr:txBody>
    </xdr:sp>
    <xdr:clientData/>
  </xdr:twoCellAnchor>
  <xdr:twoCellAnchor editAs="absolute">
    <xdr:from>
      <xdr:col>20</xdr:col>
      <xdr:colOff>18469</xdr:colOff>
      <xdr:row>100</xdr:row>
      <xdr:rowOff>53068</xdr:rowOff>
    </xdr:from>
    <xdr:to>
      <xdr:col>21</xdr:col>
      <xdr:colOff>47044</xdr:colOff>
      <xdr:row>102</xdr:row>
      <xdr:rowOff>58511</xdr:rowOff>
    </xdr:to>
    <xdr:grpSp>
      <xdr:nvGrpSpPr>
        <xdr:cNvPr id="6748171" name="Group 67">
          <a:extLst>
            <a:ext uri="{FF2B5EF4-FFF2-40B4-BE49-F238E27FC236}">
              <a16:creationId xmlns:a16="http://schemas.microsoft.com/office/drawing/2014/main" id="{00000000-0008-0000-0800-00000BF86600}"/>
            </a:ext>
          </a:extLst>
        </xdr:cNvPr>
        <xdr:cNvGrpSpPr>
          <a:grpSpLocks/>
        </xdr:cNvGrpSpPr>
      </xdr:nvGrpSpPr>
      <xdr:grpSpPr bwMode="auto">
        <a:xfrm>
          <a:off x="10166924" y="15773029"/>
          <a:ext cx="1255692" cy="267690"/>
          <a:chOff x="721" y="1508"/>
          <a:chExt cx="124" cy="29"/>
        </a:xfrm>
      </xdr:grpSpPr>
      <xdr:sp macro="" textlink="">
        <xdr:nvSpPr>
          <xdr:cNvPr id="42052" name="Text Box 68">
            <a:extLst>
              <a:ext uri="{FF2B5EF4-FFF2-40B4-BE49-F238E27FC236}">
                <a16:creationId xmlns:a16="http://schemas.microsoft.com/office/drawing/2014/main" id="{00000000-0008-0000-0800-000044A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3" y="1508"/>
            <a:ext cx="92" cy="29"/>
          </a:xfrm>
          <a:prstGeom prst="rect">
            <a:avLst/>
          </a:prstGeom>
          <a:solidFill>
            <a:srgbClr val="969696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72000" tIns="46800" rIns="90000" bIns="46800" anchor="ctr" upright="1"/>
          <a:lstStyle/>
          <a:p>
            <a:pPr algn="l" rtl="0">
              <a:defRPr sz="1000"/>
            </a:pP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Pág.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 </a:t>
            </a: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de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</a:t>
            </a:r>
          </a:p>
        </xdr:txBody>
      </xdr:sp>
      <xdr:sp macro="" textlink="">
        <xdr:nvSpPr>
          <xdr:cNvPr id="6748204" name="Line 69">
            <a:extLst>
              <a:ext uri="{FF2B5EF4-FFF2-40B4-BE49-F238E27FC236}">
                <a16:creationId xmlns:a16="http://schemas.microsoft.com/office/drawing/2014/main" id="{00000000-0008-0000-0800-00002CF86600}"/>
              </a:ext>
            </a:extLst>
          </xdr:cNvPr>
          <xdr:cNvSpPr>
            <a:spLocks noChangeShapeType="1"/>
          </xdr:cNvSpPr>
        </xdr:nvSpPr>
        <xdr:spPr bwMode="auto">
          <a:xfrm>
            <a:off x="748" y="1508"/>
            <a:ext cx="0" cy="29"/>
          </a:xfrm>
          <a:prstGeom prst="line">
            <a:avLst/>
          </a:prstGeom>
          <a:noFill/>
          <a:ln w="57150">
            <a:solidFill>
              <a:srgbClr val="969696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48205" name="Line 70">
            <a:extLst>
              <a:ext uri="{FF2B5EF4-FFF2-40B4-BE49-F238E27FC236}">
                <a16:creationId xmlns:a16="http://schemas.microsoft.com/office/drawing/2014/main" id="{00000000-0008-0000-0800-00002DF86600}"/>
              </a:ext>
            </a:extLst>
          </xdr:cNvPr>
          <xdr:cNvSpPr>
            <a:spLocks noChangeShapeType="1"/>
          </xdr:cNvSpPr>
        </xdr:nvSpPr>
        <xdr:spPr bwMode="auto">
          <a:xfrm>
            <a:off x="739" y="1508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48206" name="Line 71">
            <a:extLst>
              <a:ext uri="{FF2B5EF4-FFF2-40B4-BE49-F238E27FC236}">
                <a16:creationId xmlns:a16="http://schemas.microsoft.com/office/drawing/2014/main" id="{00000000-0008-0000-0800-00002EF86600}"/>
              </a:ext>
            </a:extLst>
          </xdr:cNvPr>
          <xdr:cNvSpPr>
            <a:spLocks noChangeShapeType="1"/>
          </xdr:cNvSpPr>
        </xdr:nvSpPr>
        <xdr:spPr bwMode="auto">
          <a:xfrm>
            <a:off x="730" y="1508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48207" name="Line 72">
            <a:extLst>
              <a:ext uri="{FF2B5EF4-FFF2-40B4-BE49-F238E27FC236}">
                <a16:creationId xmlns:a16="http://schemas.microsoft.com/office/drawing/2014/main" id="{00000000-0008-0000-0800-00002FF86600}"/>
              </a:ext>
            </a:extLst>
          </xdr:cNvPr>
          <xdr:cNvSpPr>
            <a:spLocks noChangeShapeType="1"/>
          </xdr:cNvSpPr>
        </xdr:nvSpPr>
        <xdr:spPr bwMode="auto">
          <a:xfrm>
            <a:off x="721" y="1508"/>
            <a:ext cx="0" cy="29"/>
          </a:xfrm>
          <a:prstGeom prst="line">
            <a:avLst/>
          </a:prstGeom>
          <a:noFill/>
          <a:ln w="57150">
            <a:solidFill>
              <a:schemeClr val="accent2">
                <a:lumMod val="50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  <xdr:txBody>
          <a:bodyPr/>
          <a:lstStyle/>
          <a:p>
            <a:endParaRPr lang="pt-PT"/>
          </a:p>
        </xdr:txBody>
      </xdr:sp>
    </xdr:grpSp>
    <xdr:clientData/>
  </xdr:twoCellAnchor>
  <xdr:twoCellAnchor editAs="absolute">
    <xdr:from>
      <xdr:col>1</xdr:col>
      <xdr:colOff>228600</xdr:colOff>
      <xdr:row>26</xdr:row>
      <xdr:rowOff>0</xdr:rowOff>
    </xdr:from>
    <xdr:to>
      <xdr:col>8</xdr:col>
      <xdr:colOff>304800</xdr:colOff>
      <xdr:row>28</xdr:row>
      <xdr:rowOff>133350</xdr:rowOff>
    </xdr:to>
    <xdr:sp macro="" textlink="">
      <xdr:nvSpPr>
        <xdr:cNvPr id="62" name="Text Box 59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SpPr txBox="1">
          <a:spLocks noChangeArrowheads="1"/>
        </xdr:cNvSpPr>
      </xdr:nvSpPr>
      <xdr:spPr bwMode="auto">
        <a:xfrm>
          <a:off x="333375" y="4210050"/>
          <a:ext cx="4324350" cy="457200"/>
        </a:xfrm>
        <a:prstGeom prst="rect">
          <a:avLst/>
        </a:prstGeom>
        <a:solidFill>
          <a:srgbClr val="EAEAEA"/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7. "Quadros 3 a 6":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Parâmetros de dimensionamento em função da Classe de Risco - critérios NFPA 13.</a:t>
          </a:r>
        </a:p>
      </xdr:txBody>
    </xdr:sp>
    <xdr:clientData/>
  </xdr:twoCellAnchor>
  <xdr:twoCellAnchor editAs="absolute">
    <xdr:from>
      <xdr:col>1</xdr:col>
      <xdr:colOff>114300</xdr:colOff>
      <xdr:row>83</xdr:row>
      <xdr:rowOff>12249</xdr:rowOff>
    </xdr:from>
    <xdr:to>
      <xdr:col>5</xdr:col>
      <xdr:colOff>342900</xdr:colOff>
      <xdr:row>91</xdr:row>
      <xdr:rowOff>2724</xdr:rowOff>
    </xdr:to>
    <xdr:grpSp>
      <xdr:nvGrpSpPr>
        <xdr:cNvPr id="6748173" name="Group 109">
          <a:extLst>
            <a:ext uri="{FF2B5EF4-FFF2-40B4-BE49-F238E27FC236}">
              <a16:creationId xmlns:a16="http://schemas.microsoft.com/office/drawing/2014/main" id="{00000000-0008-0000-0800-00000DF86600}"/>
            </a:ext>
          </a:extLst>
        </xdr:cNvPr>
        <xdr:cNvGrpSpPr>
          <a:grpSpLocks/>
        </xdr:cNvGrpSpPr>
      </xdr:nvGrpSpPr>
      <xdr:grpSpPr bwMode="auto">
        <a:xfrm>
          <a:off x="223157" y="13094898"/>
          <a:ext cx="2801588" cy="1257177"/>
          <a:chOff x="853" y="12"/>
          <a:chExt cx="278" cy="135"/>
        </a:xfrm>
      </xdr:grpSpPr>
      <xdr:sp macro="" textlink="">
        <xdr:nvSpPr>
          <xdr:cNvPr id="65" name="Text Box 86">
            <a:extLst>
              <a:ext uri="{FF2B5EF4-FFF2-40B4-BE49-F238E27FC236}">
                <a16:creationId xmlns:a16="http://schemas.microsoft.com/office/drawing/2014/main" id="{00000000-0008-0000-0800-00004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68" y="37"/>
            <a:ext cx="175" cy="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Tubos de Aço </a:t>
            </a:r>
          </a:p>
          <a:p>
            <a:pPr algn="l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NP EN 10255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- Série Média</a:t>
            </a:r>
          </a:p>
        </xdr:txBody>
      </xdr:sp>
      <xdr:sp macro="" textlink="">
        <xdr:nvSpPr>
          <xdr:cNvPr id="66" name="Text Box 87">
            <a:extLst>
              <a:ext uri="{FF2B5EF4-FFF2-40B4-BE49-F238E27FC236}">
                <a16:creationId xmlns:a16="http://schemas.microsoft.com/office/drawing/2014/main" id="{00000000-0008-0000-0800-00004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68" y="79"/>
            <a:ext cx="169" cy="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Acessórios Roscados</a:t>
            </a:r>
          </a:p>
          <a:p>
            <a:pPr algn="l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NP EN 10242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- Projecto A</a:t>
            </a:r>
          </a:p>
        </xdr:txBody>
      </xdr:sp>
      <xdr:sp macro="" textlink="">
        <xdr:nvSpPr>
          <xdr:cNvPr id="67" name="Text Box 88">
            <a:extLst>
              <a:ext uri="{FF2B5EF4-FFF2-40B4-BE49-F238E27FC236}">
                <a16:creationId xmlns:a16="http://schemas.microsoft.com/office/drawing/2014/main" id="{00000000-0008-0000-0800-00004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53" y="12"/>
            <a:ext cx="278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7432" rIns="0" bIns="0" anchor="t" upright="1"/>
          <a:lstStyle/>
          <a:p>
            <a:pPr algn="l" rtl="0">
              <a:defRPr sz="1000"/>
            </a:pPr>
            <a:r>
              <a:rPr lang="pt-PT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Sustentado no sistema de tubagem</a:t>
            </a:r>
          </a:p>
        </xdr:txBody>
      </xdr:sp>
      <xdr:sp macro="" textlink="">
        <xdr:nvSpPr>
          <xdr:cNvPr id="69" name="Text Box 101">
            <a:extLst>
              <a:ext uri="{FF2B5EF4-FFF2-40B4-BE49-F238E27FC236}">
                <a16:creationId xmlns:a16="http://schemas.microsoft.com/office/drawing/2014/main" id="{00000000-0008-0000-0800-00004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68" y="123"/>
            <a:ext cx="22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Ligação Roscada NP EN 10226-1</a:t>
            </a:r>
          </a:p>
        </xdr:txBody>
      </xdr:sp>
    </xdr:grpSp>
    <xdr:clientData/>
  </xdr:twoCellAnchor>
  <xdr:twoCellAnchor>
    <xdr:from>
      <xdr:col>9</xdr:col>
      <xdr:colOff>19050</xdr:colOff>
      <xdr:row>35</xdr:row>
      <xdr:rowOff>48362</xdr:rowOff>
    </xdr:from>
    <xdr:to>
      <xdr:col>21</xdr:col>
      <xdr:colOff>39075</xdr:colOff>
      <xdr:row>39</xdr:row>
      <xdr:rowOff>13089</xdr:rowOff>
    </xdr:to>
    <xdr:sp macro="" textlink="">
      <xdr:nvSpPr>
        <xdr:cNvPr id="75" name="Text Box 23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SpPr txBox="1">
          <a:spLocks noChangeArrowheads="1"/>
        </xdr:cNvSpPr>
      </xdr:nvSpPr>
      <xdr:spPr bwMode="auto">
        <a:xfrm>
          <a:off x="5298622" y="5616824"/>
          <a:ext cx="6124398" cy="601122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46800" tIns="46800" rIns="46800" bIns="46800" anchor="ctr" upright="1"/>
        <a:lstStyle/>
        <a:p>
          <a:pPr rtl="0"/>
          <a:r>
            <a:rPr lang="pt-PT" sz="10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7. No bloco "Características e Especificações"</a:t>
          </a:r>
          <a:r>
            <a:rPr lang="pt-PT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: </a:t>
          </a:r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designar os seguintes sistemas de unidades:</a:t>
          </a:r>
          <a:endParaRPr lang="pt-PT" sz="1000">
            <a:latin typeface="Arial" pitchFamily="34" charset="0"/>
            <a:cs typeface="Arial" pitchFamily="34" charset="0"/>
          </a:endParaRPr>
        </a:p>
        <a:p>
          <a:pPr rtl="0"/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    - Caudal expresso em: </a:t>
          </a:r>
          <a:r>
            <a:rPr lang="pt-PT" sz="1000" b="1" i="0" baseline="0">
              <a:latin typeface="Arial" pitchFamily="34" charset="0"/>
              <a:ea typeface="+mn-ea"/>
              <a:cs typeface="Arial" pitchFamily="34" charset="0"/>
            </a:rPr>
            <a:t>l/min</a:t>
          </a:r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 ,</a:t>
          </a:r>
          <a:r>
            <a:rPr lang="pt-PT" sz="1000" b="1" i="0" baseline="0">
              <a:latin typeface="Arial" pitchFamily="34" charset="0"/>
              <a:ea typeface="+mn-ea"/>
              <a:cs typeface="Arial" pitchFamily="34" charset="0"/>
            </a:rPr>
            <a:t> l/s </a:t>
          </a:r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pt-PT" sz="1000" b="1" i="0" baseline="0">
              <a:latin typeface="Arial" pitchFamily="34" charset="0"/>
              <a:ea typeface="+mn-ea"/>
              <a:cs typeface="Arial" pitchFamily="34" charset="0"/>
            </a:rPr>
            <a:t>l/h</a:t>
          </a:r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 ou </a:t>
          </a:r>
          <a:r>
            <a:rPr lang="pt-PT" sz="1000" b="1" i="0" baseline="0">
              <a:latin typeface="Arial" pitchFamily="34" charset="0"/>
              <a:ea typeface="+mn-ea"/>
              <a:cs typeface="Arial" pitchFamily="34" charset="0"/>
            </a:rPr>
            <a:t>m</a:t>
          </a:r>
          <a:r>
            <a:rPr lang="pt-PT" sz="1100" b="1" i="0" baseline="30000">
              <a:latin typeface="Arial" pitchFamily="34" charset="0"/>
              <a:ea typeface="+mn-ea"/>
              <a:cs typeface="Arial" pitchFamily="34" charset="0"/>
            </a:rPr>
            <a:t>3</a:t>
          </a:r>
          <a:r>
            <a:rPr lang="pt-PT" sz="1000" b="1" i="0" baseline="0">
              <a:latin typeface="Arial" pitchFamily="34" charset="0"/>
              <a:ea typeface="+mn-ea"/>
              <a:cs typeface="Arial" pitchFamily="34" charset="0"/>
            </a:rPr>
            <a:t>/h</a:t>
          </a:r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pt-PT" sz="1000">
            <a:latin typeface="Arial" pitchFamily="34" charset="0"/>
            <a:cs typeface="Arial" pitchFamily="34" charset="0"/>
          </a:endParaRPr>
        </a:p>
        <a:p>
          <a:pPr rtl="0"/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    - Pressão expressa em: </a:t>
          </a:r>
          <a:r>
            <a:rPr lang="pt-PT" sz="1000" b="1" i="0" baseline="0">
              <a:latin typeface="Arial" pitchFamily="34" charset="0"/>
              <a:ea typeface="+mn-ea"/>
              <a:cs typeface="Arial" pitchFamily="34" charset="0"/>
            </a:rPr>
            <a:t>kPa</a:t>
          </a:r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 , </a:t>
          </a:r>
          <a:r>
            <a:rPr lang="pt-PT" sz="1000" b="1" i="0" baseline="0">
              <a:latin typeface="Arial" pitchFamily="34" charset="0"/>
              <a:ea typeface="+mn-ea"/>
              <a:cs typeface="Arial" pitchFamily="34" charset="0"/>
            </a:rPr>
            <a:t>bar</a:t>
          </a:r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 , </a:t>
          </a:r>
          <a:r>
            <a:rPr lang="pt-PT" sz="1000" b="1" i="0" baseline="0">
              <a:latin typeface="Arial" pitchFamily="34" charset="0"/>
              <a:ea typeface="+mn-ea"/>
              <a:cs typeface="Arial" pitchFamily="34" charset="0"/>
            </a:rPr>
            <a:t>m.c.a.</a:t>
          </a:r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 ou </a:t>
          </a:r>
          <a:r>
            <a:rPr lang="pt-PT" sz="1000" b="1" i="0" baseline="0">
              <a:latin typeface="Arial" pitchFamily="34" charset="0"/>
              <a:ea typeface="+mn-ea"/>
              <a:cs typeface="Arial" pitchFamily="34" charset="0"/>
            </a:rPr>
            <a:t>kgf/cm</a:t>
          </a:r>
          <a:r>
            <a:rPr lang="pt-PT" sz="1100" b="1" i="0" baseline="3000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pt-PT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19050</xdr:colOff>
      <xdr:row>39</xdr:row>
      <xdr:rowOff>58615</xdr:rowOff>
    </xdr:from>
    <xdr:to>
      <xdr:col>21</xdr:col>
      <xdr:colOff>38100</xdr:colOff>
      <xdr:row>45</xdr:row>
      <xdr:rowOff>133977</xdr:rowOff>
    </xdr:to>
    <xdr:sp macro="" textlink="">
      <xdr:nvSpPr>
        <xdr:cNvPr id="41999" name="Text Box 15">
          <a:extLst>
            <a:ext uri="{FF2B5EF4-FFF2-40B4-BE49-F238E27FC236}">
              <a16:creationId xmlns:a16="http://schemas.microsoft.com/office/drawing/2014/main" id="{00000000-0008-0000-0800-00000FA40000}"/>
            </a:ext>
          </a:extLst>
        </xdr:cNvPr>
        <xdr:cNvSpPr txBox="1">
          <a:spLocks noChangeArrowheads="1"/>
        </xdr:cNvSpPr>
      </xdr:nvSpPr>
      <xdr:spPr bwMode="auto">
        <a:xfrm>
          <a:off x="5298622" y="6263472"/>
          <a:ext cx="6123423" cy="1029956"/>
        </a:xfrm>
        <a:prstGeom prst="rect">
          <a:avLst/>
        </a:prstGeom>
        <a:solidFill>
          <a:schemeClr val="bg2">
            <a:lumMod val="9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46800" tIns="46800" rIns="46800" bIns="46800" anchor="ctr" upright="1"/>
        <a:lstStyle/>
        <a:p>
          <a:pPr algn="just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8. No bloco "Especificações calculadas"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: verificar os valores calculados das seguintes características:</a:t>
          </a:r>
        </a:p>
        <a:p>
          <a:pPr algn="just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Afastamento máximo entre sub-ramais com sprinklers (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especificação 1.4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).</a:t>
          </a:r>
        </a:p>
        <a:p>
          <a:pPr algn="just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Número total máximo de sprinklers em funcionamento </a:t>
          </a:r>
          <a:r>
            <a:rPr lang="pt-PT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simultâneo </a:t>
          </a:r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pt-PT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especificação 1.6</a:t>
          </a:r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pt-PT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  <a:p>
          <a:pPr algn="just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Número de sprinklers em funcionamento simultâneo por sub-ramal (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especificação 1.7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).</a:t>
          </a:r>
        </a:p>
        <a:p>
          <a:pPr algn="just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Caudal mínimo exigido no </a:t>
          </a:r>
          <a:r>
            <a:rPr lang="pt-PT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sprinkler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mais desfavorável (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especificação 1.9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).</a:t>
          </a:r>
        </a:p>
        <a:p>
          <a:pPr algn="just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Pressão dinâmica mínima no </a:t>
          </a:r>
          <a:r>
            <a:rPr lang="pt-PT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sprinkler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mais desfavorável (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especificação 1.11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).</a:t>
          </a:r>
        </a:p>
      </xdr:txBody>
    </xdr:sp>
    <xdr:clientData/>
  </xdr:twoCellAnchor>
  <xdr:twoCellAnchor editAs="absolute">
    <xdr:from>
      <xdr:col>9</xdr:col>
      <xdr:colOff>0</xdr:colOff>
      <xdr:row>14</xdr:row>
      <xdr:rowOff>136383</xdr:rowOff>
    </xdr:from>
    <xdr:to>
      <xdr:col>21</xdr:col>
      <xdr:colOff>19050</xdr:colOff>
      <xdr:row>34</xdr:row>
      <xdr:rowOff>154912</xdr:rowOff>
    </xdr:to>
    <xdr:sp macro="" textlink="">
      <xdr:nvSpPr>
        <xdr:cNvPr id="42029" name="Text Box 45">
          <a:extLst>
            <a:ext uri="{FF2B5EF4-FFF2-40B4-BE49-F238E27FC236}">
              <a16:creationId xmlns:a16="http://schemas.microsoft.com/office/drawing/2014/main" id="{00000000-0008-0000-0800-00002DA40000}"/>
            </a:ext>
          </a:extLst>
        </xdr:cNvPr>
        <xdr:cNvSpPr txBox="1">
          <a:spLocks noChangeArrowheads="1"/>
        </xdr:cNvSpPr>
      </xdr:nvSpPr>
      <xdr:spPr bwMode="auto">
        <a:xfrm>
          <a:off x="5279572" y="2363768"/>
          <a:ext cx="6123423" cy="3200506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46800" tIns="36000" rIns="46800" bIns="36000" anchor="ctr" upright="1"/>
        <a:lstStyle/>
        <a:p>
          <a:pPr algn="l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6. No bloco "Características e Especificações"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: verificar valores adoptados por defeito na coluna “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 cinzento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” ou introduzir decisões na coluna “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 verde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”, das seguintes características:</a:t>
          </a:r>
        </a:p>
        <a:p>
          <a:pPr rtl="0"/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- Área de operação (consulta automática do </a:t>
          </a:r>
          <a:r>
            <a:rPr lang="pt-PT" sz="1000" b="1" i="0" baseline="0">
              <a:latin typeface="Arial" pitchFamily="34" charset="0"/>
              <a:ea typeface="+mn-ea"/>
              <a:cs typeface="Arial" pitchFamily="34" charset="0"/>
            </a:rPr>
            <a:t>Quadro </a:t>
          </a:r>
          <a:r>
            <a:rPr lang="pt-PT" sz="1000" b="1" i="0" baseline="0">
              <a:effectLst/>
              <a:latin typeface="Arial" pitchFamily="34" charset="0"/>
              <a:ea typeface="+mn-ea"/>
              <a:cs typeface="Arial" pitchFamily="34" charset="0"/>
            </a:rPr>
            <a:t>3-NFPA 13</a:t>
          </a:r>
          <a:r>
            <a:rPr lang="pt-PT" sz="1000" b="0" i="0" baseline="0">
              <a:effectLst/>
              <a:latin typeface="Arial" pitchFamily="34" charset="0"/>
              <a:ea typeface="+mn-ea"/>
              <a:cs typeface="Arial" pitchFamily="34" charset="0"/>
            </a:rPr>
            <a:t> ou </a:t>
          </a:r>
          <a:r>
            <a:rPr lang="pt-PT" sz="1000" b="1" i="0" baseline="0">
              <a:effectLst/>
              <a:latin typeface="Arial" pitchFamily="34" charset="0"/>
              <a:ea typeface="+mn-ea"/>
              <a:cs typeface="Arial" pitchFamily="34" charset="0"/>
            </a:rPr>
            <a:t>RGSCIE </a:t>
          </a:r>
          <a:r>
            <a:rPr lang="pt-PT" sz="1000" b="0" i="0" baseline="0">
              <a:effectLst/>
              <a:latin typeface="Arial" pitchFamily="34" charset="0"/>
              <a:ea typeface="+mn-ea"/>
              <a:cs typeface="Arial" pitchFamily="34" charset="0"/>
            </a:rPr>
            <a:t>ou </a:t>
          </a:r>
          <a:r>
            <a:rPr lang="pt-PT" sz="1000" b="1" i="0" baseline="0">
              <a:effectLst/>
              <a:latin typeface="Arial" pitchFamily="34" charset="0"/>
              <a:ea typeface="+mn-ea"/>
              <a:cs typeface="Arial" pitchFamily="34" charset="0"/>
            </a:rPr>
            <a:t>EN 12845</a:t>
          </a:r>
          <a:r>
            <a:rPr lang="pt-PT" sz="1000" b="0" i="0" baseline="0">
              <a:effectLst/>
              <a:latin typeface="Arial" pitchFamily="34" charset="0"/>
              <a:ea typeface="+mn-ea"/>
              <a:cs typeface="Arial" pitchFamily="34" charset="0"/>
            </a:rPr>
            <a:t>).</a:t>
          </a:r>
          <a:endParaRPr lang="pt-PT" sz="1000">
            <a:effectLst/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Área de cobertura por </a:t>
          </a:r>
          <a:r>
            <a:rPr lang="pt-PT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sprinkler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(consulta do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Quadro 3-NFPA 13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ou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RGSCIE</a:t>
          </a:r>
          <a:r>
            <a:rPr lang="pt-PT" sz="10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pt-PT" sz="1000" b="0" i="0" baseline="0">
              <a:effectLst/>
              <a:latin typeface="Arial" pitchFamily="34" charset="0"/>
              <a:ea typeface="+mn-ea"/>
              <a:cs typeface="Arial" pitchFamily="34" charset="0"/>
            </a:rPr>
            <a:t>ou </a:t>
          </a:r>
          <a:r>
            <a:rPr lang="pt-PT" sz="1000" b="1" i="0" baseline="0">
              <a:effectLst/>
              <a:latin typeface="Arial" pitchFamily="34" charset="0"/>
              <a:ea typeface="+mn-ea"/>
              <a:cs typeface="Arial" pitchFamily="34" charset="0"/>
            </a:rPr>
            <a:t>EN 12845</a:t>
          </a:r>
          <a:r>
            <a:rPr lang="pt-PT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).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- Nº de </a:t>
          </a:r>
          <a:r>
            <a:rPr lang="pt-PT" sz="1000" b="0" i="1" baseline="0">
              <a:latin typeface="Arial" pitchFamily="34" charset="0"/>
              <a:ea typeface="+mn-ea"/>
              <a:cs typeface="Arial" pitchFamily="34" charset="0"/>
            </a:rPr>
            <a:t>sprinklers</a:t>
          </a:r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 em funcionamento simultâneo (consulta automática do </a:t>
          </a:r>
          <a:r>
            <a:rPr lang="pt-PT" sz="1000" b="1" i="0" baseline="0">
              <a:latin typeface="Arial" pitchFamily="34" charset="0"/>
              <a:ea typeface="+mn-ea"/>
              <a:cs typeface="Arial" pitchFamily="34" charset="0"/>
            </a:rPr>
            <a:t>Quadro 3-RGSCIE</a:t>
          </a:r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).</a:t>
          </a:r>
          <a:endParaRPr lang="pt-PT" sz="10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Espaçamento entre </a:t>
          </a:r>
          <a:r>
            <a:rPr lang="pt-PT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sprinklers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(consulta automática do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Quadro 3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aplicável).</a:t>
          </a:r>
        </a:p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Calcular o caudal unitário a dispersar por </a:t>
          </a:r>
          <a:r>
            <a:rPr lang="pt-PT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sprinkler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(consulta automática dos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Gráficos 1 ou 2 para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 NFPA 13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ou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consulta automática do Quadro 3-RTSCIE</a:t>
          </a:r>
          <a:r>
            <a:rPr lang="pt-PT" sz="10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pt-PT" sz="1000" b="0" i="0" baseline="0">
              <a:effectLst/>
              <a:latin typeface="Arial" pitchFamily="34" charset="0"/>
              <a:ea typeface="+mn-ea"/>
              <a:cs typeface="Arial" pitchFamily="34" charset="0"/>
            </a:rPr>
            <a:t>ou </a:t>
          </a:r>
          <a:r>
            <a:rPr lang="pt-PT" sz="1000" b="1" i="0" baseline="0">
              <a:effectLst/>
              <a:latin typeface="Arial" pitchFamily="34" charset="0"/>
              <a:ea typeface="+mn-ea"/>
              <a:cs typeface="Arial" pitchFamily="34" charset="0"/>
            </a:rPr>
            <a:t>EN 12845</a:t>
          </a:r>
          <a:r>
            <a:rPr lang="pt-PT" sz="1000" b="0" i="0" baseline="0">
              <a:effectLst/>
              <a:latin typeface="Arial" pitchFamily="34" charset="0"/>
              <a:ea typeface="+mn-ea"/>
              <a:cs typeface="Arial" pitchFamily="34" charset="0"/>
            </a:rPr>
            <a:t>).</a:t>
          </a:r>
          <a:endParaRPr lang="pt-PT" sz="10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- Coeficiente de caudal dos </a:t>
          </a:r>
          <a:r>
            <a:rPr lang="pt-PT" sz="1000" b="0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sprinklers</a:t>
          </a:r>
          <a:r>
            <a:rPr lang="pt-PT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(consulta automática do </a:t>
          </a:r>
          <a:r>
            <a:rPr lang="pt-PT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Quadro 4</a:t>
          </a:r>
          <a:r>
            <a:rPr lang="pt-PT" sz="1000" b="0" i="0" baseline="0">
              <a:effectLst/>
              <a:latin typeface="Arial" pitchFamily="34" charset="0"/>
              <a:ea typeface="+mn-ea"/>
              <a:cs typeface="Arial" pitchFamily="34" charset="0"/>
            </a:rPr>
            <a:t> aplicável</a:t>
          </a:r>
          <a:r>
            <a:rPr lang="pt-PT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).</a:t>
          </a:r>
        </a:p>
        <a:p>
          <a:pPr rtl="0"/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Perda de carga admissível nos ramais principais em conformidade com a EN 12845.</a:t>
          </a:r>
          <a:endParaRPr lang="pt-PT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Velocidade admissível de escoamento da água em conformidade com a EN 12845.</a:t>
          </a:r>
          <a:endParaRPr lang="pt-PT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Impor se necessário, a % de afectação das perdas de carga locais. Caso não sejam introduzidos valores das perdas de carga localizadas, por defeito é efectuado um acréscimo de 25% ao comprimento dos troços analisados, para compensação das perdas de carga localizadas.</a:t>
          </a:r>
          <a:endParaRPr lang="pt-PT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Impor se pretendido, o dimensionamento efectuado com base na </a:t>
          </a:r>
          <a:r>
            <a:rPr lang="pt-PT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Fórmula de Flamant</a:t>
          </a:r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 Por defeito, assume o dimensionamento efectuado com base na </a:t>
          </a:r>
          <a:r>
            <a:rPr lang="pt-PT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Fórmula de Hazen &amp; Williams</a:t>
          </a:r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 </a:t>
          </a:r>
          <a:endParaRPr lang="pt-PT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Impor se necessário, a constante de rugosidade aplicável a tubagens em aço galvanizado na condução de água fria. Por defeito, assume os seguintes valores da constante de rugosidade recomendados para tubagens em aço na condução de água: </a:t>
          </a:r>
          <a:endParaRPr lang="pt-PT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1) </a:t>
          </a:r>
          <a:r>
            <a:rPr lang="pt-PT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 = 120</a:t>
          </a:r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caso seja utilizada a fórmula de Hazen &amp; Williams,</a:t>
          </a:r>
          <a:endParaRPr lang="pt-PT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2) </a:t>
          </a:r>
          <a:r>
            <a:rPr lang="pt-PT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 = 0,00023</a:t>
          </a:r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caso seja utilizada a fórmula de Flamant.</a:t>
          </a:r>
          <a:endParaRPr lang="pt-PT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16</xdr:col>
      <xdr:colOff>590550</xdr:colOff>
      <xdr:row>14</xdr:row>
      <xdr:rowOff>1151</xdr:rowOff>
    </xdr:from>
    <xdr:to>
      <xdr:col>17</xdr:col>
      <xdr:colOff>114300</xdr:colOff>
      <xdr:row>15</xdr:row>
      <xdr:rowOff>58301</xdr:rowOff>
    </xdr:to>
    <xdr:grpSp>
      <xdr:nvGrpSpPr>
        <xdr:cNvPr id="6748182" name="Group 46">
          <a:extLst>
            <a:ext uri="{FF2B5EF4-FFF2-40B4-BE49-F238E27FC236}">
              <a16:creationId xmlns:a16="http://schemas.microsoft.com/office/drawing/2014/main" id="{00000000-0008-0000-0800-000016F86600}"/>
            </a:ext>
          </a:extLst>
        </xdr:cNvPr>
        <xdr:cNvGrpSpPr>
          <a:grpSpLocks/>
        </xdr:cNvGrpSpPr>
      </xdr:nvGrpSpPr>
      <xdr:grpSpPr bwMode="auto">
        <a:xfrm>
          <a:off x="8299615" y="2217878"/>
          <a:ext cx="171945" cy="215488"/>
          <a:chOff x="777" y="832"/>
          <a:chExt cx="14" cy="38"/>
        </a:xfrm>
      </xdr:grpSpPr>
      <xdr:sp macro="" textlink="">
        <xdr:nvSpPr>
          <xdr:cNvPr id="6748185" name="AutoShape 47">
            <a:extLst>
              <a:ext uri="{FF2B5EF4-FFF2-40B4-BE49-F238E27FC236}">
                <a16:creationId xmlns:a16="http://schemas.microsoft.com/office/drawing/2014/main" id="{00000000-0008-0000-0800-000019F866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774" y="835"/>
            <a:ext cx="19" cy="14"/>
          </a:xfrm>
          <a:prstGeom prst="homePlate">
            <a:avLst>
              <a:gd name="adj" fmla="val 57145"/>
            </a:avLst>
          </a:pr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748186" name="AutoShape 48">
            <a:extLst>
              <a:ext uri="{FF2B5EF4-FFF2-40B4-BE49-F238E27FC236}">
                <a16:creationId xmlns:a16="http://schemas.microsoft.com/office/drawing/2014/main" id="{00000000-0008-0000-0800-00001AF866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773" y="852"/>
            <a:ext cx="22" cy="14"/>
          </a:xfrm>
          <a:prstGeom prst="chevron">
            <a:avLst>
              <a:gd name="adj" fmla="val 39286"/>
            </a:avLst>
          </a:pr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 editAs="absolute">
    <xdr:from>
      <xdr:col>9</xdr:col>
      <xdr:colOff>0</xdr:colOff>
      <xdr:row>11</xdr:row>
      <xdr:rowOff>95250</xdr:rowOff>
    </xdr:from>
    <xdr:to>
      <xdr:col>21</xdr:col>
      <xdr:colOff>19050</xdr:colOff>
      <xdr:row>14</xdr:row>
      <xdr:rowOff>47625</xdr:rowOff>
    </xdr:to>
    <xdr:sp macro="" textlink="">
      <xdr:nvSpPr>
        <xdr:cNvPr id="42001" name="Text Box 17">
          <a:extLst>
            <a:ext uri="{FF2B5EF4-FFF2-40B4-BE49-F238E27FC236}">
              <a16:creationId xmlns:a16="http://schemas.microsoft.com/office/drawing/2014/main" id="{00000000-0008-0000-0800-000011A40000}"/>
            </a:ext>
          </a:extLst>
        </xdr:cNvPr>
        <xdr:cNvSpPr txBox="1">
          <a:spLocks noChangeArrowheads="1"/>
        </xdr:cNvSpPr>
      </xdr:nvSpPr>
      <xdr:spPr bwMode="auto">
        <a:xfrm>
          <a:off x="4962525" y="1876425"/>
          <a:ext cx="5762625" cy="43815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46800" tIns="46800" rIns="46800" bIns="46800" anchor="ctr" upright="1"/>
        <a:lstStyle/>
        <a:p>
          <a:pPr algn="just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5. No bloco "Características e Especificações"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: Apontar para o cursor e definir a Utilização Tipo (critério RTSCIE) ou a Classe e Grupo de Risco (critérios NFPA 13 ou EN 12845) aplicável.</a:t>
          </a:r>
        </a:p>
      </xdr:txBody>
    </xdr:sp>
    <xdr:clientData/>
  </xdr:twoCellAnchor>
  <xdr:twoCellAnchor editAs="absolute">
    <xdr:from>
      <xdr:col>1</xdr:col>
      <xdr:colOff>228600</xdr:colOff>
      <xdr:row>22</xdr:row>
      <xdr:rowOff>133350</xdr:rowOff>
    </xdr:from>
    <xdr:to>
      <xdr:col>8</xdr:col>
      <xdr:colOff>304800</xdr:colOff>
      <xdr:row>25</xdr:row>
      <xdr:rowOff>104775</xdr:rowOff>
    </xdr:to>
    <xdr:sp macro="" textlink="">
      <xdr:nvSpPr>
        <xdr:cNvPr id="76" name="Text Box 59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SpPr txBox="1">
          <a:spLocks noChangeArrowheads="1"/>
        </xdr:cNvSpPr>
      </xdr:nvSpPr>
      <xdr:spPr bwMode="auto">
        <a:xfrm>
          <a:off x="333375" y="3695700"/>
          <a:ext cx="4324350" cy="457200"/>
        </a:xfrm>
        <a:prstGeom prst="rect">
          <a:avLst/>
        </a:prstGeom>
        <a:solidFill>
          <a:srgbClr val="EAEAEA"/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6. "Quadros 3 a 5":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Parâmetros de dimensionamento em função da Classe de Risco - critérios EN 12845.</a:t>
          </a:r>
        </a:p>
      </xdr:txBody>
    </xdr:sp>
    <xdr:clientData/>
  </xdr:twoCellAnchor>
  <xdr:twoCellAnchor editAs="absolute">
    <xdr:from>
      <xdr:col>1</xdr:col>
      <xdr:colOff>228600</xdr:colOff>
      <xdr:row>10</xdr:row>
      <xdr:rowOff>28576</xdr:rowOff>
    </xdr:from>
    <xdr:to>
      <xdr:col>8</xdr:col>
      <xdr:colOff>304800</xdr:colOff>
      <xdr:row>11</xdr:row>
      <xdr:rowOff>142875</xdr:rowOff>
    </xdr:to>
    <xdr:sp macro="" textlink="">
      <xdr:nvSpPr>
        <xdr:cNvPr id="78" name="Text Box 38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SpPr txBox="1">
          <a:spLocks noChangeArrowheads="1"/>
        </xdr:cNvSpPr>
      </xdr:nvSpPr>
      <xdr:spPr bwMode="auto">
        <a:xfrm>
          <a:off x="333375" y="1647826"/>
          <a:ext cx="4324350" cy="276224"/>
        </a:xfrm>
        <a:prstGeom prst="rect">
          <a:avLst/>
        </a:prstGeom>
        <a:solidFill>
          <a:srgbClr val="EAEAEA"/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2. "Curvas da Instalação":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Análise gráfica do desempenho hidráulico.</a:t>
          </a:r>
        </a:p>
      </xdr:txBody>
    </xdr:sp>
    <xdr:clientData/>
  </xdr:twoCellAnchor>
  <xdr:twoCellAnchor editAs="oneCell">
    <xdr:from>
      <xdr:col>3</xdr:col>
      <xdr:colOff>609599</xdr:colOff>
      <xdr:row>86</xdr:row>
      <xdr:rowOff>156481</xdr:rowOff>
    </xdr:from>
    <xdr:to>
      <xdr:col>6</xdr:col>
      <xdr:colOff>251329</xdr:colOff>
      <xdr:row>89</xdr:row>
      <xdr:rowOff>89807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2085" y="13665652"/>
          <a:ext cx="1584830" cy="406855"/>
        </a:xfrm>
        <a:prstGeom prst="rect">
          <a:avLst/>
        </a:prstGeom>
      </xdr:spPr>
    </xdr:pic>
    <xdr:clientData/>
  </xdr:twoCellAnchor>
  <xdr:twoCellAnchor editAs="absolute">
    <xdr:from>
      <xdr:col>16</xdr:col>
      <xdr:colOff>561975</xdr:colOff>
      <xdr:row>75</xdr:row>
      <xdr:rowOff>38833</xdr:rowOff>
    </xdr:from>
    <xdr:to>
      <xdr:col>17</xdr:col>
      <xdr:colOff>85725</xdr:colOff>
      <xdr:row>76</xdr:row>
      <xdr:rowOff>113568</xdr:rowOff>
    </xdr:to>
    <xdr:grpSp>
      <xdr:nvGrpSpPr>
        <xdr:cNvPr id="6713333" name="Group 76">
          <a:extLst>
            <a:ext uri="{FF2B5EF4-FFF2-40B4-BE49-F238E27FC236}">
              <a16:creationId xmlns:a16="http://schemas.microsoft.com/office/drawing/2014/main" id="{00000000-0008-0000-0800-0000F56F6600}"/>
            </a:ext>
          </a:extLst>
        </xdr:cNvPr>
        <xdr:cNvGrpSpPr>
          <a:grpSpLocks/>
        </xdr:cNvGrpSpPr>
      </xdr:nvGrpSpPr>
      <xdr:grpSpPr bwMode="auto">
        <a:xfrm>
          <a:off x="8271040" y="11869625"/>
          <a:ext cx="171945" cy="218228"/>
          <a:chOff x="777" y="832"/>
          <a:chExt cx="14" cy="38"/>
        </a:xfrm>
      </xdr:grpSpPr>
      <xdr:sp macro="" textlink="">
        <xdr:nvSpPr>
          <xdr:cNvPr id="6748214" name="AutoShape 77">
            <a:extLst>
              <a:ext uri="{FF2B5EF4-FFF2-40B4-BE49-F238E27FC236}">
                <a16:creationId xmlns:a16="http://schemas.microsoft.com/office/drawing/2014/main" id="{00000000-0008-0000-0800-000036F866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774" y="835"/>
            <a:ext cx="19" cy="14"/>
          </a:xfrm>
          <a:prstGeom prst="homePlate">
            <a:avLst>
              <a:gd name="adj" fmla="val 57145"/>
            </a:avLst>
          </a:pr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748215" name="AutoShape 78">
            <a:extLst>
              <a:ext uri="{FF2B5EF4-FFF2-40B4-BE49-F238E27FC236}">
                <a16:creationId xmlns:a16="http://schemas.microsoft.com/office/drawing/2014/main" id="{00000000-0008-0000-0800-000037F866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773" y="852"/>
            <a:ext cx="22" cy="14"/>
          </a:xfrm>
          <a:prstGeom prst="chevron">
            <a:avLst>
              <a:gd name="adj" fmla="val 39286"/>
            </a:avLst>
          </a:pr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 editAs="absolute">
    <xdr:from>
      <xdr:col>9</xdr:col>
      <xdr:colOff>19050</xdr:colOff>
      <xdr:row>72</xdr:row>
      <xdr:rowOff>124507</xdr:rowOff>
    </xdr:from>
    <xdr:to>
      <xdr:col>21</xdr:col>
      <xdr:colOff>38100</xdr:colOff>
      <xdr:row>75</xdr:row>
      <xdr:rowOff>57151</xdr:rowOff>
    </xdr:to>
    <xdr:sp macro="" textlink="">
      <xdr:nvSpPr>
        <xdr:cNvPr id="42058" name="Text Box 74">
          <a:extLst>
            <a:ext uri="{FF2B5EF4-FFF2-40B4-BE49-F238E27FC236}">
              <a16:creationId xmlns:a16="http://schemas.microsoft.com/office/drawing/2014/main" id="{00000000-0008-0000-0800-00004AA40000}"/>
            </a:ext>
          </a:extLst>
        </xdr:cNvPr>
        <xdr:cNvSpPr txBox="1">
          <a:spLocks noChangeArrowheads="1"/>
        </xdr:cNvSpPr>
      </xdr:nvSpPr>
      <xdr:spPr bwMode="auto">
        <a:xfrm>
          <a:off x="5372100" y="11735482"/>
          <a:ext cx="6200775" cy="418419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46800" tIns="46800" rIns="46800" bIns="46800" anchor="ctr" upright="1"/>
        <a:lstStyle/>
        <a:p>
          <a:pPr algn="just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11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 A sub-folha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Quadro 2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possibilita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 opção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de estimar as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perdas de carga referentes aos acessórios utilizados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 Este resultado será imputado na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Coluna (7)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 sub-folha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Cálc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Sist. Extinção Automática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twoCellAnchor>
  <xdr:twoCellAnchor>
    <xdr:from>
      <xdr:col>7</xdr:col>
      <xdr:colOff>161100</xdr:colOff>
      <xdr:row>93</xdr:row>
      <xdr:rowOff>133664</xdr:rowOff>
    </xdr:from>
    <xdr:to>
      <xdr:col>21</xdr:col>
      <xdr:colOff>38100</xdr:colOff>
      <xdr:row>97</xdr:row>
      <xdr:rowOff>65732</xdr:rowOff>
    </xdr:to>
    <xdr:sp macro="" textlink="">
      <xdr:nvSpPr>
        <xdr:cNvPr id="79" name="Text Box 140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SpPr txBox="1">
          <a:spLocks noChangeArrowheads="1"/>
        </xdr:cNvSpPr>
      </xdr:nvSpPr>
      <xdr:spPr bwMode="auto">
        <a:xfrm>
          <a:off x="4199700" y="15126014"/>
          <a:ext cx="7373175" cy="57976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46800" tIns="46800" rIns="46800" bIns="46800" anchor="ctr" upright="1"/>
        <a:lstStyle/>
        <a:p>
          <a:pPr algn="l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13.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Se aplicável, introduzir as seguintes caracterírsticas da tubagem de aspiração: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comprimento da tubagem de aspiração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comprimento local equivalente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e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altura de aspiração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 Sendo automaticamente incorporado o seu impacto na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Necessidade de Pressão </a:t>
          </a:r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pt-PT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</a:t>
          </a:r>
          <a:r>
            <a:rPr lang="pt-PT" sz="1000" b="0" i="0" baseline="-25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 máx.</a:t>
          </a:r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twoCellAnchor>
  <xdr:twoCellAnchor editAs="absolute">
    <xdr:from>
      <xdr:col>16</xdr:col>
      <xdr:colOff>561975</xdr:colOff>
      <xdr:row>96</xdr:row>
      <xdr:rowOff>125446</xdr:rowOff>
    </xdr:from>
    <xdr:to>
      <xdr:col>17</xdr:col>
      <xdr:colOff>85725</xdr:colOff>
      <xdr:row>98</xdr:row>
      <xdr:rowOff>75781</xdr:rowOff>
    </xdr:to>
    <xdr:grpSp>
      <xdr:nvGrpSpPr>
        <xdr:cNvPr id="6713331" name="Group 80">
          <a:extLst>
            <a:ext uri="{FF2B5EF4-FFF2-40B4-BE49-F238E27FC236}">
              <a16:creationId xmlns:a16="http://schemas.microsoft.com/office/drawing/2014/main" id="{00000000-0008-0000-0800-0000F36F6600}"/>
            </a:ext>
          </a:extLst>
        </xdr:cNvPr>
        <xdr:cNvGrpSpPr>
          <a:grpSpLocks/>
        </xdr:cNvGrpSpPr>
      </xdr:nvGrpSpPr>
      <xdr:grpSpPr bwMode="auto">
        <a:xfrm>
          <a:off x="8271040" y="15266485"/>
          <a:ext cx="171945" cy="212581"/>
          <a:chOff x="777" y="832"/>
          <a:chExt cx="14" cy="38"/>
        </a:xfrm>
      </xdr:grpSpPr>
      <xdr:sp macro="" textlink="">
        <xdr:nvSpPr>
          <xdr:cNvPr id="6748216" name="AutoShape 81">
            <a:extLst>
              <a:ext uri="{FF2B5EF4-FFF2-40B4-BE49-F238E27FC236}">
                <a16:creationId xmlns:a16="http://schemas.microsoft.com/office/drawing/2014/main" id="{00000000-0008-0000-0800-000038F866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774" y="835"/>
            <a:ext cx="19" cy="14"/>
          </a:xfrm>
          <a:prstGeom prst="homePlate">
            <a:avLst>
              <a:gd name="adj" fmla="val 57145"/>
            </a:avLst>
          </a:pr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748217" name="AutoShape 82">
            <a:extLst>
              <a:ext uri="{FF2B5EF4-FFF2-40B4-BE49-F238E27FC236}">
                <a16:creationId xmlns:a16="http://schemas.microsoft.com/office/drawing/2014/main" id="{00000000-0008-0000-0800-000039F866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773" y="852"/>
            <a:ext cx="22" cy="14"/>
          </a:xfrm>
          <a:prstGeom prst="chevron">
            <a:avLst>
              <a:gd name="adj" fmla="val 39286"/>
            </a:avLst>
          </a:pr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 editAs="absolute">
    <xdr:from>
      <xdr:col>16</xdr:col>
      <xdr:colOff>561975</xdr:colOff>
      <xdr:row>92</xdr:row>
      <xdr:rowOff>134971</xdr:rowOff>
    </xdr:from>
    <xdr:to>
      <xdr:col>17</xdr:col>
      <xdr:colOff>85725</xdr:colOff>
      <xdr:row>94</xdr:row>
      <xdr:rowOff>18631</xdr:rowOff>
    </xdr:to>
    <xdr:grpSp>
      <xdr:nvGrpSpPr>
        <xdr:cNvPr id="68" name="Group 80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GrpSpPr>
          <a:grpSpLocks/>
        </xdr:cNvGrpSpPr>
      </xdr:nvGrpSpPr>
      <xdr:grpSpPr bwMode="auto">
        <a:xfrm>
          <a:off x="8271040" y="14642659"/>
          <a:ext cx="171945" cy="200336"/>
          <a:chOff x="777" y="832"/>
          <a:chExt cx="14" cy="38"/>
        </a:xfrm>
      </xdr:grpSpPr>
      <xdr:sp macro="" textlink="">
        <xdr:nvSpPr>
          <xdr:cNvPr id="70" name="AutoShape 81">
            <a:extLst>
              <a:ext uri="{FF2B5EF4-FFF2-40B4-BE49-F238E27FC236}">
                <a16:creationId xmlns:a16="http://schemas.microsoft.com/office/drawing/2014/main" id="{00000000-0008-0000-0800-00004600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774" y="835"/>
            <a:ext cx="19" cy="14"/>
          </a:xfrm>
          <a:prstGeom prst="homePlate">
            <a:avLst>
              <a:gd name="adj" fmla="val 57145"/>
            </a:avLst>
          </a:pr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1" name="AutoShape 82">
            <a:extLst>
              <a:ext uri="{FF2B5EF4-FFF2-40B4-BE49-F238E27FC236}">
                <a16:creationId xmlns:a16="http://schemas.microsoft.com/office/drawing/2014/main" id="{00000000-0008-0000-0800-00004700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773" y="852"/>
            <a:ext cx="22" cy="14"/>
          </a:xfrm>
          <a:prstGeom prst="chevron">
            <a:avLst>
              <a:gd name="adj" fmla="val 39286"/>
            </a:avLst>
          </a:pr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 editAs="absolute">
    <xdr:from>
      <xdr:col>1</xdr:col>
      <xdr:colOff>408214</xdr:colOff>
      <xdr:row>43</xdr:row>
      <xdr:rowOff>157842</xdr:rowOff>
    </xdr:from>
    <xdr:to>
      <xdr:col>8</xdr:col>
      <xdr:colOff>381535</xdr:colOff>
      <xdr:row>45</xdr:row>
      <xdr:rowOff>95249</xdr:rowOff>
    </xdr:to>
    <xdr:sp macro="" textlink="">
      <xdr:nvSpPr>
        <xdr:cNvPr id="77" name="Text Box 44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SpPr txBox="1">
          <a:spLocks noChangeArrowheads="1"/>
        </xdr:cNvSpPr>
      </xdr:nvSpPr>
      <xdr:spPr bwMode="auto">
        <a:xfrm>
          <a:off x="517071" y="6945085"/>
          <a:ext cx="4485450" cy="253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As restantes células estão intencionalmente protegidas.</a:t>
          </a:r>
          <a:r>
            <a:rPr lang="pt-PT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>
    <xdr:from>
      <xdr:col>1</xdr:col>
      <xdr:colOff>206829</xdr:colOff>
      <xdr:row>94</xdr:row>
      <xdr:rowOff>48987</xdr:rowOff>
    </xdr:from>
    <xdr:to>
      <xdr:col>3</xdr:col>
      <xdr:colOff>620485</xdr:colOff>
      <xdr:row>99</xdr:row>
      <xdr:rowOff>106545</xdr:rowOff>
    </xdr:to>
    <xdr:grpSp>
      <xdr:nvGrpSpPr>
        <xdr:cNvPr id="80" name="Agrupar 79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GrpSpPr/>
      </xdr:nvGrpSpPr>
      <xdr:grpSpPr>
        <a:xfrm>
          <a:off x="315686" y="14873351"/>
          <a:ext cx="1690254" cy="794818"/>
          <a:chOff x="15838809" y="11053948"/>
          <a:chExt cx="1730599" cy="881920"/>
        </a:xfrm>
      </xdr:grpSpPr>
      <xdr:pic>
        <xdr:nvPicPr>
          <xdr:cNvPr id="81" name="Picture 5501" descr="Resize of logoapta">
            <a:extLst>
              <a:ext uri="{FF2B5EF4-FFF2-40B4-BE49-F238E27FC236}">
                <a16:creationId xmlns:a16="http://schemas.microsoft.com/office/drawing/2014/main" id="{00000000-0008-0000-0800-00005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contras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375413" y="11053948"/>
            <a:ext cx="1133453" cy="6659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2" name="Text Box 5512">
            <a:extLst>
              <a:ext uri="{FF2B5EF4-FFF2-40B4-BE49-F238E27FC236}">
                <a16:creationId xmlns:a16="http://schemas.microsoft.com/office/drawing/2014/main" id="{00000000-0008-0000-0800-00005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6146899" y="11765940"/>
            <a:ext cx="1422509" cy="1583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pt-PT" sz="8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Autor: </a:t>
            </a:r>
            <a:r>
              <a:rPr lang="pt-PT" sz="8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Paulo Gomes</a:t>
            </a:r>
            <a:r>
              <a:rPr lang="pt-PT" sz="7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,</a:t>
            </a:r>
            <a:r>
              <a:rPr lang="pt-PT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 </a:t>
            </a:r>
            <a:r>
              <a:rPr lang="pt-PT" sz="7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Engº</a:t>
            </a:r>
          </a:p>
        </xdr:txBody>
      </xdr:sp>
      <xdr:sp macro="" textlink="">
        <xdr:nvSpPr>
          <xdr:cNvPr id="83" name="Text Box 551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800-00005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44947" y="11430224"/>
            <a:ext cx="818260" cy="1976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info@apta.pt</a:t>
            </a:r>
          </a:p>
        </xdr:txBody>
      </xdr:sp>
      <xdr:sp macro="" textlink="">
        <xdr:nvSpPr>
          <xdr:cNvPr id="84" name="Text Box 5510">
            <a:extLst>
              <a:ext uri="{FF2B5EF4-FFF2-40B4-BE49-F238E27FC236}">
                <a16:creationId xmlns:a16="http://schemas.microsoft.com/office/drawing/2014/main" id="{00000000-0008-0000-0800-00005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922558" y="11741615"/>
            <a:ext cx="335959" cy="1942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36576" tIns="22860" rIns="36576" bIns="22860" anchor="ctr" upright="1"/>
          <a:lstStyle/>
          <a:p>
            <a:pPr algn="ctr" rtl="0">
              <a:defRPr sz="1000"/>
            </a:pPr>
            <a:r>
              <a:rPr lang="pt-PT" sz="12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®</a:t>
            </a:r>
          </a:p>
        </xdr:txBody>
      </xdr:sp>
      <xdr:sp macro="" textlink="">
        <xdr:nvSpPr>
          <xdr:cNvPr id="85" name="Text Box 55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800-00005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38809" y="11603181"/>
            <a:ext cx="818904" cy="1656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www.apta.pt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vert="vert270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vert="vert270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5">
    <tabColor indexed="16"/>
  </sheetPr>
  <dimension ref="A1:JD692"/>
  <sheetViews>
    <sheetView showGridLines="0" showRowColHeaders="0" tabSelected="1" topLeftCell="C1" zoomScale="110" zoomScaleNormal="110" zoomScalePageLayoutView="110" workbookViewId="0">
      <selection activeCell="M6" sqref="M6"/>
    </sheetView>
  </sheetViews>
  <sheetFormatPr defaultColWidth="2.53515625" defaultRowHeight="12.45" x14ac:dyDescent="0.3"/>
  <cols>
    <col min="1" max="1" width="4.3828125" style="1" hidden="1" customWidth="1"/>
    <col min="2" max="2" width="5.15234375" style="1" hidden="1" customWidth="1"/>
    <col min="3" max="3" width="0.53515625" style="1" customWidth="1"/>
    <col min="4" max="5" width="3.69140625" style="1" customWidth="1"/>
    <col min="6" max="6" width="5.3828125" style="1" customWidth="1"/>
    <col min="7" max="7" width="5.84375" style="1" customWidth="1"/>
    <col min="8" max="8" width="10.69140625" style="1" customWidth="1"/>
    <col min="9" max="9" width="10" style="1" customWidth="1"/>
    <col min="10" max="10" width="9.53515625" style="1" customWidth="1"/>
    <col min="11" max="12" width="9" style="1" customWidth="1"/>
    <col min="13" max="13" width="9.3046875" style="1" customWidth="1"/>
    <col min="14" max="14" width="9.15234375" style="1" hidden="1" customWidth="1"/>
    <col min="15" max="15" width="9.3046875" style="1" hidden="1" customWidth="1"/>
    <col min="16" max="16" width="9" style="1" customWidth="1"/>
    <col min="17" max="17" width="9.69140625" style="1" customWidth="1"/>
    <col min="18" max="18" width="8.84375" style="1" customWidth="1"/>
    <col min="19" max="19" width="8.15234375" style="1" customWidth="1"/>
    <col min="20" max="20" width="8.53515625" style="1" hidden="1" customWidth="1"/>
    <col min="21" max="21" width="7.3828125" style="1" customWidth="1"/>
    <col min="22" max="22" width="2" style="1" hidden="1" customWidth="1"/>
    <col min="23" max="23" width="6.84375" style="1" customWidth="1"/>
    <col min="24" max="25" width="0.15234375" style="1" hidden="1" customWidth="1"/>
    <col min="26" max="26" width="6.53515625" style="1" customWidth="1"/>
    <col min="27" max="27" width="7.3828125" style="1" customWidth="1"/>
    <col min="28" max="28" width="8" style="1" customWidth="1"/>
    <col min="29" max="29" width="7.84375" style="1" customWidth="1"/>
    <col min="30" max="30" width="7.69140625" style="1" customWidth="1"/>
    <col min="31" max="31" width="7.84375" style="1" customWidth="1"/>
    <col min="32" max="32" width="9.3046875" style="1" customWidth="1"/>
    <col min="33" max="33" width="8.69140625" style="1" customWidth="1"/>
    <col min="34" max="34" width="10.69140625" style="1" customWidth="1"/>
    <col min="35" max="35" width="10" style="1" customWidth="1"/>
    <col min="36" max="36" width="1.84375" style="1" customWidth="1"/>
    <col min="37" max="37" width="3.3046875" style="1" customWidth="1"/>
    <col min="38" max="38" width="6.15234375" style="1" customWidth="1"/>
    <col min="39" max="39" width="5.3046875" style="1" customWidth="1"/>
    <col min="40" max="40" width="5.84375" style="1" customWidth="1"/>
    <col min="41" max="41" width="4.15234375" style="1" customWidth="1"/>
    <col min="42" max="42" width="6.69140625" style="1" customWidth="1"/>
    <col min="43" max="43" width="6.15234375" style="1" customWidth="1"/>
    <col min="44" max="44" width="5.3046875" style="2" customWidth="1"/>
    <col min="45" max="45" width="0.53515625" style="2" customWidth="1"/>
    <col min="46" max="46" width="7.15234375" style="2" hidden="1" customWidth="1"/>
    <col min="47" max="47" width="8.3828125" style="2" hidden="1" customWidth="1"/>
    <col min="48" max="49" width="8.69140625" style="2" hidden="1" customWidth="1"/>
    <col min="50" max="50" width="8.3828125" style="1" hidden="1" customWidth="1"/>
    <col min="51" max="51" width="10" style="1" hidden="1" customWidth="1"/>
    <col min="52" max="52" width="7.69140625" style="1" hidden="1" customWidth="1"/>
    <col min="53" max="53" width="9.15234375" style="1" hidden="1" customWidth="1"/>
    <col min="54" max="54" width="9.3046875" style="1" hidden="1" customWidth="1"/>
    <col min="55" max="55" width="9.69140625" style="1" hidden="1" customWidth="1"/>
    <col min="56" max="56" width="7.69140625" style="1" hidden="1" customWidth="1"/>
    <col min="57" max="57" width="9.3046875" style="1" hidden="1" customWidth="1"/>
    <col min="58" max="58" width="9.53515625" style="1" hidden="1" customWidth="1"/>
    <col min="59" max="59" width="8.69140625" style="1" hidden="1" customWidth="1"/>
    <col min="60" max="60" width="7.53515625" style="1" hidden="1" customWidth="1"/>
    <col min="61" max="61" width="9.84375" style="1" hidden="1" customWidth="1"/>
    <col min="62" max="62" width="8.69140625" style="1" hidden="1" customWidth="1"/>
    <col min="63" max="63" width="9.3828125" style="1" hidden="1" customWidth="1"/>
    <col min="64" max="65" width="6.3828125" style="1" hidden="1" customWidth="1"/>
    <col min="66" max="66" width="6.84375" style="1" hidden="1" customWidth="1"/>
    <col min="67" max="67" width="7.53515625" style="1" hidden="1" customWidth="1"/>
    <col min="68" max="69" width="6.3828125" style="1" hidden="1" customWidth="1"/>
    <col min="70" max="70" width="7.3828125" style="1" hidden="1" customWidth="1"/>
    <col min="71" max="72" width="6.3828125" style="1" hidden="1" customWidth="1"/>
    <col min="73" max="73" width="8" style="1" hidden="1" customWidth="1"/>
    <col min="74" max="74" width="7.69140625" style="1" hidden="1" customWidth="1"/>
    <col min="75" max="75" width="6.3828125" style="1" hidden="1" customWidth="1"/>
    <col min="76" max="76" width="6.3046875" style="1" hidden="1" customWidth="1"/>
    <col min="77" max="92" width="6.3828125" style="1" hidden="1" customWidth="1"/>
    <col min="93" max="93" width="5.3828125" style="1" hidden="1" customWidth="1"/>
    <col min="94" max="94" width="10" style="1" hidden="1" customWidth="1"/>
    <col min="95" max="95" width="9.15234375" style="1" hidden="1" customWidth="1"/>
    <col min="96" max="103" width="5.3828125" style="1" hidden="1" customWidth="1"/>
    <col min="104" max="104" width="8" style="1" hidden="1" customWidth="1"/>
    <col min="105" max="114" width="5.3828125" style="1" hidden="1" customWidth="1"/>
    <col min="115" max="115" width="4.69140625" style="1" hidden="1" customWidth="1"/>
    <col min="116" max="116" width="5.3828125" style="1" hidden="1" customWidth="1"/>
    <col min="117" max="117" width="6.69140625" style="1" hidden="1" customWidth="1"/>
    <col min="118" max="118" width="5.3828125" style="1" hidden="1" customWidth="1"/>
    <col min="119" max="119" width="5.3046875" style="1" hidden="1" customWidth="1"/>
    <col min="120" max="122" width="5.53515625" style="1" hidden="1" customWidth="1"/>
    <col min="123" max="123" width="4.15234375" style="1" hidden="1" customWidth="1"/>
    <col min="124" max="124" width="4.69140625" style="1" hidden="1" customWidth="1"/>
    <col min="125" max="125" width="6.15234375" style="1" hidden="1" customWidth="1"/>
    <col min="126" max="126" width="5.3828125" style="1" hidden="1" customWidth="1"/>
    <col min="127" max="127" width="5.15234375" style="1" hidden="1" customWidth="1"/>
    <col min="128" max="129" width="5.84375" style="1" hidden="1" customWidth="1"/>
    <col min="130" max="130" width="5.3046875" style="1" hidden="1" customWidth="1"/>
    <col min="131" max="131" width="5.53515625" style="1" hidden="1" customWidth="1"/>
    <col min="132" max="132" width="7.3046875" style="1" hidden="1" customWidth="1"/>
    <col min="133" max="134" width="5.3828125" style="1" hidden="1" customWidth="1"/>
    <col min="135" max="135" width="7.15234375" style="1" hidden="1" customWidth="1"/>
    <col min="136" max="137" width="5.3828125" style="1" hidden="1" customWidth="1"/>
    <col min="138" max="138" width="6" style="1" hidden="1" customWidth="1"/>
    <col min="139" max="139" width="6.3828125" style="1" hidden="1" customWidth="1"/>
    <col min="140" max="140" width="6.15234375" style="1" hidden="1" customWidth="1"/>
    <col min="141" max="141" width="6.53515625" style="1" hidden="1" customWidth="1"/>
    <col min="142" max="142" width="6.84375" style="1" hidden="1" customWidth="1"/>
    <col min="143" max="143" width="6.69140625" style="1" hidden="1" customWidth="1"/>
    <col min="144" max="144" width="5.53515625" style="1" hidden="1" customWidth="1"/>
    <col min="145" max="145" width="6.3046875" style="1" hidden="1" customWidth="1"/>
    <col min="146" max="146" width="6.15234375" style="1" hidden="1" customWidth="1"/>
    <col min="147" max="147" width="4.84375" style="1" hidden="1" customWidth="1"/>
    <col min="148" max="148" width="7" style="1" hidden="1" customWidth="1"/>
    <col min="149" max="149" width="8.3828125" style="1" hidden="1" customWidth="1"/>
    <col min="150" max="150" width="7.3046875" style="1" hidden="1" customWidth="1"/>
    <col min="151" max="151" width="4" style="1" hidden="1" customWidth="1"/>
    <col min="152" max="152" width="7" style="1" hidden="1" customWidth="1"/>
    <col min="153" max="153" width="4" style="1" hidden="1" customWidth="1"/>
    <col min="154" max="154" width="9.69140625" style="1" hidden="1" customWidth="1"/>
    <col min="155" max="156" width="6.69140625" style="1" hidden="1" customWidth="1"/>
    <col min="157" max="157" width="4.53515625" style="1" hidden="1" customWidth="1"/>
    <col min="158" max="158" width="9.15234375" style="1" hidden="1" customWidth="1"/>
    <col min="159" max="159" width="8.84375" style="1" hidden="1" customWidth="1"/>
    <col min="160" max="160" width="12.3828125" style="1" hidden="1" customWidth="1"/>
    <col min="161" max="162" width="9.53515625" style="1" hidden="1" customWidth="1"/>
    <col min="163" max="163" width="8.53515625" style="1" hidden="1" customWidth="1"/>
    <col min="164" max="164" width="6.15234375" style="1" hidden="1" customWidth="1"/>
    <col min="165" max="165" width="4.3046875" style="1" hidden="1" customWidth="1"/>
    <col min="166" max="166" width="4.3828125" style="1" hidden="1" customWidth="1"/>
    <col min="167" max="167" width="5.3046875" style="1" hidden="1" customWidth="1"/>
    <col min="168" max="168" width="4.53515625" style="1" hidden="1" customWidth="1"/>
    <col min="169" max="169" width="5.3046875" style="1" hidden="1" customWidth="1"/>
    <col min="170" max="170" width="4.3046875" style="1" hidden="1" customWidth="1"/>
    <col min="171" max="171" width="5.3828125" style="1" hidden="1" customWidth="1"/>
    <col min="172" max="172" width="4.3046875" style="1" hidden="1" customWidth="1"/>
    <col min="173" max="173" width="4.69140625" style="1" hidden="1" customWidth="1"/>
    <col min="174" max="174" width="4.53515625" style="1" hidden="1" customWidth="1"/>
    <col min="175" max="175" width="4.84375" style="1" hidden="1" customWidth="1"/>
    <col min="176" max="176" width="4.3046875" style="1" hidden="1" customWidth="1"/>
    <col min="177" max="177" width="4.69140625" style="1" hidden="1" customWidth="1"/>
    <col min="178" max="178" width="4.53515625" style="1" hidden="1" customWidth="1"/>
    <col min="179" max="179" width="4.3828125" style="1" hidden="1" customWidth="1"/>
    <col min="180" max="180" width="4.3046875" style="1" hidden="1" customWidth="1"/>
    <col min="181" max="181" width="4.69140625" style="1" hidden="1" customWidth="1"/>
    <col min="182" max="182" width="4.53515625" style="1" hidden="1" customWidth="1"/>
    <col min="183" max="183" width="4.3828125" style="1" hidden="1" customWidth="1"/>
    <col min="184" max="184" width="4.3046875" style="1" hidden="1" customWidth="1"/>
    <col min="185" max="185" width="4.69140625" style="1" hidden="1" customWidth="1"/>
    <col min="186" max="186" width="4.53515625" style="1" hidden="1" customWidth="1"/>
    <col min="187" max="187" width="4.3828125" style="1" hidden="1" customWidth="1"/>
    <col min="188" max="188" width="4.3046875" style="1" hidden="1" customWidth="1"/>
    <col min="189" max="189" width="4.69140625" style="1" hidden="1" customWidth="1"/>
    <col min="190" max="190" width="4.53515625" style="1" hidden="1" customWidth="1"/>
    <col min="191" max="191" width="4.3828125" style="1" hidden="1" customWidth="1"/>
    <col min="192" max="192" width="4.3046875" style="1" hidden="1" customWidth="1"/>
    <col min="193" max="193" width="4.69140625" style="1" hidden="1" customWidth="1"/>
    <col min="194" max="194" width="4.53515625" style="1" hidden="1" customWidth="1"/>
    <col min="195" max="195" width="4.3828125" style="1" hidden="1" customWidth="1"/>
    <col min="196" max="196" width="4.3046875" style="1" hidden="1" customWidth="1"/>
    <col min="197" max="197" width="4.69140625" style="1" hidden="1" customWidth="1"/>
    <col min="198" max="198" width="4.53515625" style="1" hidden="1" customWidth="1"/>
    <col min="199" max="199" width="4.3828125" style="1" hidden="1" customWidth="1"/>
    <col min="200" max="200" width="4.3046875" style="1" hidden="1" customWidth="1"/>
    <col min="201" max="201" width="4.69140625" style="1" hidden="1" customWidth="1"/>
    <col min="202" max="203" width="5.3046875" style="1" hidden="1" customWidth="1"/>
    <col min="204" max="204" width="4.3046875" style="1" hidden="1" customWidth="1"/>
    <col min="205" max="205" width="4.69140625" style="1" hidden="1" customWidth="1"/>
    <col min="206" max="206" width="4.53515625" style="1" hidden="1" customWidth="1"/>
    <col min="207" max="207" width="5.3828125" style="1" hidden="1" customWidth="1"/>
    <col min="208" max="208" width="4.3046875" style="1" hidden="1" customWidth="1"/>
    <col min="209" max="209" width="4.69140625" style="1" hidden="1" customWidth="1"/>
    <col min="210" max="210" width="4.53515625" style="1" hidden="1" customWidth="1"/>
    <col min="211" max="211" width="5.3046875" style="1" hidden="1" customWidth="1"/>
    <col min="212" max="212" width="4.3046875" style="1" hidden="1" customWidth="1"/>
    <col min="213" max="213" width="4.69140625" style="1" hidden="1" customWidth="1"/>
    <col min="214" max="214" width="4.53515625" style="1" hidden="1" customWidth="1"/>
    <col min="215" max="215" width="4.3828125" style="1" hidden="1" customWidth="1"/>
    <col min="216" max="216" width="4.3046875" style="1" hidden="1" customWidth="1"/>
    <col min="217" max="217" width="4.69140625" style="1" hidden="1" customWidth="1"/>
    <col min="218" max="218" width="4.53515625" style="1" hidden="1" customWidth="1"/>
    <col min="219" max="219" width="4.3828125" style="1" hidden="1" customWidth="1"/>
    <col min="220" max="220" width="4.3046875" style="1" hidden="1" customWidth="1"/>
    <col min="221" max="221" width="4.69140625" style="1" hidden="1" customWidth="1"/>
    <col min="222" max="222" width="4.53515625" style="1" hidden="1" customWidth="1"/>
    <col min="223" max="223" width="4.3828125" style="1" hidden="1" customWidth="1"/>
    <col min="224" max="224" width="4.3046875" style="1" hidden="1" customWidth="1"/>
    <col min="225" max="225" width="4.69140625" style="1" hidden="1" customWidth="1"/>
    <col min="226" max="226" width="4.53515625" style="1" hidden="1" customWidth="1"/>
    <col min="227" max="227" width="4.3828125" style="1" hidden="1" customWidth="1"/>
    <col min="228" max="228" width="4.3046875" style="1" hidden="1" customWidth="1"/>
    <col min="229" max="229" width="4.69140625" style="1" hidden="1" customWidth="1"/>
    <col min="230" max="230" width="4.53515625" style="1" hidden="1" customWidth="1"/>
    <col min="231" max="231" width="4.3828125" style="1" hidden="1" customWidth="1"/>
    <col min="232" max="232" width="4.3046875" style="1" hidden="1" customWidth="1"/>
    <col min="233" max="233" width="4.69140625" style="1" hidden="1" customWidth="1"/>
    <col min="234" max="234" width="4.53515625" style="1" hidden="1" customWidth="1"/>
    <col min="235" max="235" width="4.3828125" style="1" hidden="1" customWidth="1"/>
    <col min="236" max="236" width="4.3046875" style="1" hidden="1" customWidth="1"/>
    <col min="237" max="237" width="4.69140625" style="1" hidden="1" customWidth="1"/>
    <col min="238" max="238" width="4.53515625" style="1" hidden="1" customWidth="1"/>
    <col min="239" max="239" width="4.3828125" style="1" hidden="1" customWidth="1"/>
    <col min="240" max="240" width="4.3046875" style="1" hidden="1" customWidth="1"/>
    <col min="241" max="241" width="4.69140625" style="1" hidden="1" customWidth="1"/>
    <col min="242" max="242" width="4.53515625" style="1" hidden="1" customWidth="1"/>
    <col min="243" max="243" width="4.3828125" style="1" hidden="1" customWidth="1"/>
    <col min="244" max="244" width="4.3046875" style="1" hidden="1" customWidth="1"/>
    <col min="245" max="245" width="4.69140625" style="1" hidden="1" customWidth="1"/>
    <col min="246" max="246" width="4.53515625" style="1" hidden="1" customWidth="1"/>
    <col min="247" max="247" width="4.3828125" style="1" hidden="1" customWidth="1"/>
    <col min="248" max="248" width="4.3046875" style="1" hidden="1" customWidth="1"/>
    <col min="249" max="249" width="4.69140625" style="1" hidden="1" customWidth="1"/>
    <col min="250" max="250" width="4.53515625" style="1" hidden="1" customWidth="1"/>
    <col min="251" max="251" width="4.3828125" style="1" hidden="1" customWidth="1"/>
    <col min="252" max="252" width="4.3046875" style="1" hidden="1" customWidth="1"/>
    <col min="253" max="253" width="4.69140625" style="1" hidden="1" customWidth="1"/>
    <col min="254" max="254" width="4.53515625" style="1" hidden="1" customWidth="1"/>
    <col min="255" max="255" width="4.3828125" style="1" hidden="1" customWidth="1"/>
    <col min="256" max="256" width="4.3046875" style="1" hidden="1" customWidth="1"/>
    <col min="257" max="257" width="4.69140625" style="1" hidden="1" customWidth="1"/>
    <col min="258" max="258" width="4.53515625" style="1" hidden="1" customWidth="1"/>
    <col min="259" max="259" width="4.3046875" style="1" hidden="1" customWidth="1"/>
    <col min="260" max="260" width="1.84375" style="1" customWidth="1"/>
    <col min="261" max="286" width="2.53515625" style="1" customWidth="1"/>
    <col min="287" max="16384" width="2.53515625" style="1"/>
  </cols>
  <sheetData>
    <row r="1" spans="1:264" ht="3.75" customHeight="1" thickBot="1" x14ac:dyDescent="0.35"/>
    <row r="2" spans="1:264" s="3" customFormat="1" ht="21" customHeight="1" thickTop="1" thickBot="1" x14ac:dyDescent="0.35">
      <c r="D2" s="1345"/>
      <c r="E2" s="1346"/>
      <c r="F2" s="1347"/>
      <c r="G2" s="1347"/>
      <c r="H2" s="1347"/>
      <c r="I2" s="1347"/>
      <c r="J2" s="1347"/>
      <c r="K2" s="1347"/>
      <c r="L2" s="1347"/>
      <c r="M2" s="1347"/>
      <c r="N2" s="1347"/>
      <c r="O2" s="1347"/>
      <c r="P2" s="1347"/>
      <c r="Q2" s="1347"/>
      <c r="R2" s="1347"/>
      <c r="S2" s="1348"/>
      <c r="T2" s="236"/>
      <c r="U2" s="49" t="s">
        <v>0</v>
      </c>
      <c r="V2" s="677"/>
      <c r="W2" s="1541"/>
      <c r="X2" s="1542"/>
      <c r="Y2" s="1542"/>
      <c r="Z2" s="1542"/>
      <c r="AA2" s="1540"/>
      <c r="AC2" s="49" t="s">
        <v>1</v>
      </c>
      <c r="AD2" s="1545"/>
      <c r="AE2" s="1546"/>
      <c r="AF2" s="1546"/>
      <c r="AG2" s="1546"/>
      <c r="AH2" s="1546"/>
      <c r="AI2" s="1546"/>
      <c r="AJ2" s="1546"/>
      <c r="AK2" s="1547"/>
      <c r="AL2" s="49"/>
      <c r="AM2" s="49"/>
      <c r="AN2" s="49" t="s">
        <v>2</v>
      </c>
      <c r="AO2" s="1538"/>
      <c r="AP2" s="1539"/>
      <c r="AQ2" s="1540"/>
      <c r="AV2" s="467" t="s">
        <v>540</v>
      </c>
      <c r="AW2" s="79"/>
      <c r="AX2" s="79"/>
      <c r="AY2" s="707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</row>
    <row r="3" spans="1:264" ht="3" customHeight="1" thickTop="1" thickBot="1" x14ac:dyDescent="0.35">
      <c r="B3" s="192"/>
      <c r="C3" s="196"/>
      <c r="D3" s="196"/>
      <c r="E3" s="197"/>
      <c r="F3" s="198"/>
      <c r="G3" s="197"/>
      <c r="H3" s="197"/>
      <c r="I3" s="197"/>
      <c r="J3" s="197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200"/>
      <c r="AS3" s="1"/>
      <c r="AT3" s="1"/>
      <c r="AU3" s="1"/>
    </row>
    <row r="4" spans="1:264" ht="18" customHeight="1" thickTop="1" thickBot="1" x14ac:dyDescent="0.45">
      <c r="B4" s="192"/>
      <c r="C4" s="52"/>
      <c r="D4" s="1298"/>
      <c r="E4" s="1299" t="s">
        <v>99</v>
      </c>
      <c r="F4" s="1300"/>
      <c r="G4" s="1300"/>
      <c r="H4" s="1300"/>
      <c r="I4" s="1300"/>
      <c r="J4" s="1300"/>
      <c r="K4" s="1300"/>
      <c r="L4" s="1300"/>
      <c r="M4" s="1301" t="s">
        <v>120</v>
      </c>
      <c r="N4" s="1302"/>
      <c r="O4" s="1302"/>
      <c r="P4" s="1301" t="s">
        <v>121</v>
      </c>
      <c r="Q4" s="1303" t="s">
        <v>285</v>
      </c>
      <c r="R4" s="1300"/>
      <c r="S4" s="1300"/>
      <c r="T4" s="1300"/>
      <c r="U4" s="1300"/>
      <c r="V4" s="1300"/>
      <c r="W4" s="1300"/>
      <c r="X4" s="1300"/>
      <c r="Y4" s="1300"/>
      <c r="Z4" s="1300"/>
      <c r="AA4" s="1304"/>
      <c r="AB4" s="1305" t="s">
        <v>284</v>
      </c>
      <c r="AC4" s="1300"/>
      <c r="AD4" s="1300"/>
      <c r="AE4" s="1300"/>
      <c r="AF4" s="1300"/>
      <c r="AG4" s="1300"/>
      <c r="AH4" s="1300"/>
      <c r="AI4" s="1300"/>
      <c r="AJ4" s="1300"/>
      <c r="AK4" s="1300"/>
      <c r="AL4" s="1305" t="s">
        <v>689</v>
      </c>
      <c r="AM4" s="1300"/>
      <c r="AN4" s="1300"/>
      <c r="AO4" s="1300"/>
      <c r="AP4" s="1300"/>
      <c r="AQ4" s="1300"/>
      <c r="AR4" s="1300"/>
      <c r="AS4" s="1"/>
      <c r="AT4" s="699"/>
      <c r="AU4" s="259">
        <f>IF($A$5=8,12,IF($A$5=9,18,IF($A$5=10,29,IF(AND(P6&lt;&gt;"",P7&lt;&gt;""),ROUND(P6/P7,0),""))))</f>
        <v>18</v>
      </c>
      <c r="AV4" s="700">
        <f>IF(P8="","",P8)</f>
        <v>18</v>
      </c>
      <c r="AW4" s="700">
        <f>IF(OR(AV4="",AU7=""),"",AV4/AU7)</f>
        <v>3.6</v>
      </c>
      <c r="AX4" s="700">
        <f>IF(AW4="","",INT(AW4))</f>
        <v>3</v>
      </c>
      <c r="AY4" s="1458">
        <f>IF(OR(AU7="",AV4="",AX4=""),"",IF(AU7*AX4=AV4,AV4,IF(AU7*AX4&lt;AV4,AU7*(AX4+1),AU7*AX4)))</f>
        <v>20</v>
      </c>
      <c r="BC4" s="669">
        <f>A17</f>
        <v>1</v>
      </c>
      <c r="BD4" s="467" t="s">
        <v>506</v>
      </c>
      <c r="BE4" s="159"/>
      <c r="BF4" s="159"/>
      <c r="BG4" s="670" t="str">
        <f>IF($BC$4=2,"l/s",IF($BC$4=3,"l/h",IF($BC$4=4,"m³/h","l/min")))</f>
        <v>l/min</v>
      </c>
      <c r="BH4" s="670" t="s">
        <v>507</v>
      </c>
      <c r="BJ4" s="669">
        <f>A18</f>
        <v>1</v>
      </c>
      <c r="BK4" s="924" t="s">
        <v>694</v>
      </c>
      <c r="BL4" s="670" t="str">
        <f>IF($BJ$4=2,"bar",IF($BJ$4=3,"m.c.a.",IF($BJ$4=4,"kgf/cm²","kPa")))</f>
        <v>kPa</v>
      </c>
      <c r="BM4" s="670" t="s">
        <v>507</v>
      </c>
      <c r="BN4" s="805"/>
    </row>
    <row r="5" spans="1:264" ht="18" customHeight="1" thickTop="1" thickBot="1" x14ac:dyDescent="0.55000000000000004">
      <c r="A5" s="493">
        <f>IF(B5=1,8,IF(OR(B5=2,B5=3,B5=4,B5=5),9,IF(B5=6,10,IF(B5=21,7,IF(AND(B5&gt;=7,B5&lt;=14),B5+4,B5-14)))))</f>
        <v>14</v>
      </c>
      <c r="B5" s="590">
        <v>10</v>
      </c>
      <c r="C5" s="203"/>
      <c r="D5" s="1343"/>
      <c r="E5" s="1534"/>
      <c r="F5" s="1548"/>
      <c r="J5" s="902" t="s">
        <v>952</v>
      </c>
      <c r="M5" s="1296"/>
      <c r="P5" s="179" t="str">
        <f>IF($A$5="","",IF(OR($A$5=1,$A$5=2,$A$5=3,$A$5=4,$A$5=5,$A$5=6)," Dimensionamento em conformidade com NFPA 13",IF(OR($A$5=8,$A$5=9,$A$5=10)," Dimensionamento em conformidade com RTSCIE",IF(OR($A$5=11,$A$5=12,$A$5=13,$A$5=14,$A$5=15,$A$5=16,$A$5=17,$A$5=18)," Dimensionamento em conformidade com EN 12845",IF($A$5=7," Outra Classe de Riscos","")))))</f>
        <v xml:space="preserve"> Dimensionamento em conformidade com EN 12845</v>
      </c>
      <c r="Q5" s="179"/>
      <c r="R5" s="179"/>
      <c r="S5" s="179"/>
      <c r="T5" s="179"/>
      <c r="U5" s="179"/>
      <c r="W5" s="179"/>
      <c r="AB5" s="787"/>
      <c r="AC5" s="787"/>
      <c r="AD5" s="787"/>
      <c r="AE5" s="787"/>
      <c r="AF5" s="788"/>
      <c r="AG5" s="1286" t="s">
        <v>956</v>
      </c>
      <c r="AH5" s="1411" t="s">
        <v>685</v>
      </c>
      <c r="AI5" s="1282" t="str">
        <f>IF(AU5="","? m",ROUND(AU5,2)&amp;" m")</f>
        <v>3,45 m</v>
      </c>
      <c r="AK5" s="1128"/>
      <c r="AL5" s="787"/>
      <c r="AM5" s="788"/>
      <c r="AN5" s="1415" t="s">
        <v>865</v>
      </c>
      <c r="AO5" s="1292"/>
      <c r="AP5" s="1293" t="s">
        <v>930</v>
      </c>
      <c r="AQ5" s="1294" t="str">
        <f>IF(AX5="","? m",ROUND(AX5,1)&amp;" mm")</f>
        <v>? m</v>
      </c>
      <c r="AR5" s="1295"/>
      <c r="AS5" s="1"/>
      <c r="AT5" s="515" t="s">
        <v>40</v>
      </c>
      <c r="AU5" s="789">
        <f>IF(OR(P7="",P9=""),"",IF($A$5=11,FLOOR(P7/P9,0.1),FLOOR(P7/P9,0.05)))</f>
        <v>3.45</v>
      </c>
      <c r="AV5" s="1"/>
      <c r="AW5" s="915" t="s">
        <v>39</v>
      </c>
      <c r="AX5" s="916" t="str">
        <f>IF(OR(MAX(W25:W49)="",MAX(W25:W49)=0),"",IF(AK5="",MAX(MAX(W25:W49),BJ12),IF(AND(OR(AK5="x",AK5&lt;&gt;""),MAX(W25:W49)=27.3),36,IF(AND(OR(AK5="x",AK5&lt;&gt;""),MAX(W25:W49)=36),41.9,IF(AND(OR(AK5="x",AK5&lt;&gt;""),MAX(W25:W49)=41.9),53.1,IF(AND(OR(AK5="x",AK5&lt;&gt;""),MAX(W25:W49)=53.1),68.9,IF(AND(OR(AK5="x",AK5&lt;&gt;""),MAX(W25:W49)=68.9),80.9,IF(AND(OR(AK5="x",AK5&lt;&gt;""),MAX(W25:W49)=80.9),105.3,IF(AND(OR(AK5="x",AK5&lt;&gt;""),MAX(W25:W49)=105.3),129.7,IF(AND(OR(AK5="x",AK5&lt;&gt;""),MAX(W25:W49)=129.7),155.1,IF(AND(OR(AK5="x",AK5&lt;&gt;""),MAX(W25:W49)=155.1),206.5,IF(AND(OR(AK5="x",AK5&lt;&gt;""),MAX(W25:W49)=206.5),260.4,IF(AND(OR(AK5="x",AK5&lt;&gt;""),MAX(W25:W49)=260.4),311.3,311.3)))))))))))))</f>
        <v/>
      </c>
      <c r="AY5" s="917" t="str">
        <f>IF(AX5="","",LOOKUP(AX5,'Quadro 1'!$G$9:$G$23,'Quadro 1'!$E$9:$E$23))</f>
        <v/>
      </c>
      <c r="AZ5" s="933" t="str">
        <f>IF(OR(AX5="",AU15=""),"",(66.7*AU15/$B$17)/(PI()*AX5^2))</f>
        <v/>
      </c>
      <c r="BA5" s="933" t="str">
        <f>IF(OR(AX5="",MIN(R25:R49)=0),"",(66.7*MIN(R25:R49)/$B$17)/(PI()*AX5^2))</f>
        <v/>
      </c>
      <c r="BB5" s="930" t="s">
        <v>698</v>
      </c>
      <c r="BC5" s="668">
        <v>1</v>
      </c>
      <c r="BD5" s="668" t="s">
        <v>93</v>
      </c>
      <c r="BE5" s="668"/>
      <c r="BF5" s="668"/>
      <c r="BG5" s="137"/>
      <c r="BH5" s="671">
        <f>IF(BC4=2,2,IF(BC4=3,0,IF(BC4=4,1,1)))</f>
        <v>1</v>
      </c>
      <c r="BJ5" s="137">
        <v>1</v>
      </c>
      <c r="BK5" s="137" t="s">
        <v>78</v>
      </c>
      <c r="BL5" s="137"/>
      <c r="BM5" s="671">
        <f>IF(OR(BJ4=2,BJ4=3,BJ4=4),2,1)</f>
        <v>1</v>
      </c>
      <c r="BN5" s="137"/>
    </row>
    <row r="6" spans="1:264" ht="16.5" customHeight="1" thickTop="1" thickBot="1" x14ac:dyDescent="0.55000000000000004">
      <c r="A6" s="202"/>
      <c r="B6" s="493">
        <f>IF(OR($A$5=8,$A$5=13),144,IF(OR($A$5=9,$A$5=14),216,IF(OR($A$5=10,$A$5=16,$A$5=17,$A$5=18),260,IF($A$5=11,84,IF($A$5=12,72,IF($A$5=15,360,""))))))</f>
        <v>216</v>
      </c>
      <c r="C6" s="203"/>
      <c r="D6" s="1343"/>
      <c r="E6" s="1534"/>
      <c r="F6" s="1548"/>
      <c r="G6" s="97"/>
      <c r="H6" s="97"/>
      <c r="I6" s="97"/>
      <c r="J6" s="906" t="s">
        <v>850</v>
      </c>
      <c r="K6" s="1402" t="s">
        <v>451</v>
      </c>
      <c r="L6" s="263" t="s">
        <v>281</v>
      </c>
      <c r="M6" s="1123"/>
      <c r="P6" s="259">
        <f>IF(M6&lt;&gt;"",M6,IF($A$5=1,139,IF($A$5=2,139,IF($A$5=3,279,IF($A$5=4,372,IF($A$5=5,372,IF($A$5=6,465,IF($A$5=7,"",B6))))))))</f>
        <v>216</v>
      </c>
      <c r="Q6" s="498" t="str">
        <f>IF(AND($A$5=1,P6&lt;&gt;139),"Atenção: Área de operação fora de especificação",IF(AND(OR($A$5=2,$A$5=3,$A$5=4),AND(P6&lt;&gt;139,P6&lt;&gt;279,P6&lt;&gt;372)),"Atenção: Área de operação fora de especificação",IF(AND(OR($A$5=5,$A$5=6),AND(P6&lt;&gt;372,P6&lt;&gt;465)),"Atenção: Área de operação fora de especificação",IF($A$5=7,"Função da Classe de Risco",IF(AND($A$5=8,P6&lt;&gt;144),"Atenção: Área de operação fora de especificação",IF(AND($A$5=9,P6&lt;&gt;216),"Atenção: Área de operação fora de especificação",IF(AND($A$5=10,P6&lt;&gt;260),"Atenção: Área de operação fora de especificação",IF(AND($A$5&gt;7,$A$5&lt;11),"Função da Utilização Tipo (UT)","Função da Classe de Risco"))))))))</f>
        <v>Função da Classe de Risco</v>
      </c>
      <c r="R6" s="96"/>
      <c r="S6" s="96"/>
      <c r="T6" s="96"/>
      <c r="U6" s="96"/>
      <c r="V6" s="96"/>
      <c r="W6" s="96"/>
      <c r="X6" s="96"/>
      <c r="Y6" s="96"/>
      <c r="AB6" s="177"/>
      <c r="AC6" s="177"/>
      <c r="AD6" s="177"/>
      <c r="AE6" s="177"/>
      <c r="AF6" s="176"/>
      <c r="AG6" s="909" t="s">
        <v>954</v>
      </c>
      <c r="AH6" s="1288" t="s">
        <v>920</v>
      </c>
      <c r="AI6" s="3" t="str">
        <f>IF(AU6="","? sprink.",ROUND(AU6,0)&amp;" sprink.")</f>
        <v>20 sprink.</v>
      </c>
      <c r="AJ6" s="1543"/>
      <c r="AK6" s="1544"/>
      <c r="AL6" s="177"/>
      <c r="AM6" s="176"/>
      <c r="AN6" s="909" t="s">
        <v>866</v>
      </c>
      <c r="AO6" s="195"/>
      <c r="AP6" s="1291" t="s">
        <v>931</v>
      </c>
      <c r="AQ6" s="1421" t="str">
        <f>IF(AX6="","? m",ROUND(AX6,1)&amp;" m")</f>
        <v>? m</v>
      </c>
      <c r="AR6" s="1102"/>
      <c r="AS6" s="1"/>
      <c r="AT6" s="113" t="s">
        <v>91</v>
      </c>
      <c r="AU6" s="439">
        <f>IF(AY4="","",AY4)</f>
        <v>20</v>
      </c>
      <c r="AW6" s="919" t="s">
        <v>40</v>
      </c>
      <c r="AX6" s="923" t="str">
        <f>IF(AR6="","",IF(AR6&gt;=0,AR6,""))</f>
        <v/>
      </c>
      <c r="AZ6" s="916" t="str">
        <f>IF(OR(MAX(W25:W49)="",MAX(W25:W49)=0),"",MAX(W25:W49))</f>
        <v/>
      </c>
      <c r="BA6" s="1006" t="str">
        <f>IF(AZ6="","",LOOKUP(AZ6,'Quadro 1'!$G$9:$G$23,'Quadro 1'!$E$9:$E$23))</f>
        <v/>
      </c>
      <c r="BC6" s="672">
        <v>2</v>
      </c>
      <c r="BD6" s="673" t="s">
        <v>508</v>
      </c>
      <c r="BE6" s="673"/>
      <c r="BF6" s="673"/>
      <c r="BG6" s="672"/>
      <c r="BH6" s="137"/>
      <c r="BJ6" s="672">
        <v>2</v>
      </c>
      <c r="BK6" s="673" t="s">
        <v>509</v>
      </c>
      <c r="BL6" s="672"/>
      <c r="BM6" s="672"/>
      <c r="BN6" s="672"/>
    </row>
    <row r="7" spans="1:264" ht="16.5" customHeight="1" thickTop="1" thickBot="1" x14ac:dyDescent="0.55000000000000004">
      <c r="A7" s="204"/>
      <c r="B7" s="205"/>
      <c r="C7" s="206"/>
      <c r="D7" s="1343"/>
      <c r="E7" s="1534"/>
      <c r="F7" s="1548"/>
      <c r="G7" s="97"/>
      <c r="H7" s="97"/>
      <c r="I7" s="97"/>
      <c r="J7" s="1120" t="s">
        <v>851</v>
      </c>
      <c r="K7" s="1402" t="s">
        <v>903</v>
      </c>
      <c r="L7" s="263" t="s">
        <v>281</v>
      </c>
      <c r="M7" s="1123"/>
      <c r="P7" s="258">
        <f>IF(M7&lt;&gt;"",M7,IF($A$5=1,20,IF($A$5=11,21,IF(OR($A$5=2,$A$5=3,$A$5=4,$A$5=12,$A$5=13,$A$5=14,$A$5=15),12,IF(OR($A$5=5,$A$5=6,$A$5=16,$A$5=17,$A$5=18),9,IF($A$5=7,9,IF(OR($A$5=8,$A$5=9,$A$5=10),ROUND(P6/P8,1),"")))))))</f>
        <v>12</v>
      </c>
      <c r="Q7" s="180" t="str">
        <f>IF(OR($A$5=1,$A$5=2,$A$5=3,$A$5=4,$A$5=5,$A$5=6,$A$5=7,AND($A$5&gt;=11,$A$5&lt;=18)),"Função da Classe de Risco","Característica obtida por cálculo")</f>
        <v>Função da Classe de Risco</v>
      </c>
      <c r="R7" s="71"/>
      <c r="S7" s="71"/>
      <c r="T7" s="71"/>
      <c r="AB7" s="177"/>
      <c r="AC7" s="177"/>
      <c r="AD7" s="177"/>
      <c r="AE7" s="177"/>
      <c r="AF7" s="176"/>
      <c r="AG7" s="909" t="s">
        <v>955</v>
      </c>
      <c r="AH7" s="1288" t="s">
        <v>921</v>
      </c>
      <c r="AI7" s="3" t="str">
        <f>IF(AU7="","? sprink.",ROUND(AU7,0)&amp;" sprink.")</f>
        <v>5 sprink.</v>
      </c>
      <c r="AJ7" s="1543"/>
      <c r="AK7" s="1544"/>
      <c r="AL7" s="177"/>
      <c r="AM7" s="176"/>
      <c r="AN7" s="909" t="s">
        <v>867</v>
      </c>
      <c r="AO7" s="1267"/>
      <c r="AP7" s="1284" t="s">
        <v>933</v>
      </c>
      <c r="AQ7" s="1269" t="str">
        <f>IF(AND(AX7=0,AR7=""),"? m",ROUND(AX7,1)&amp;" m")</f>
        <v>? m</v>
      </c>
      <c r="AR7" s="1102"/>
      <c r="AS7" s="1"/>
      <c r="AT7" s="113" t="s">
        <v>91</v>
      </c>
      <c r="AU7" s="439">
        <f>IF(OR(P6="",P9=""),"",IF(AJ$7&lt;&gt;"",AJ$7,INT(1.2*(SQRT(P6)/P9))))</f>
        <v>5</v>
      </c>
      <c r="AW7" s="920" t="s">
        <v>40</v>
      </c>
      <c r="AX7" s="923">
        <f>IF(AR7="",0,IF(AR7&lt;&gt;"",AR7,""))</f>
        <v>0</v>
      </c>
      <c r="BC7" s="673">
        <v>3</v>
      </c>
      <c r="BD7" s="673" t="s">
        <v>510</v>
      </c>
      <c r="BE7" s="673"/>
      <c r="BF7" s="672"/>
      <c r="BG7" s="672"/>
      <c r="BH7" s="137"/>
      <c r="BJ7" s="673">
        <v>3</v>
      </c>
      <c r="BK7" s="673" t="s">
        <v>511</v>
      </c>
      <c r="BL7" s="673"/>
      <c r="BM7" s="673"/>
      <c r="BN7" s="673"/>
    </row>
    <row r="8" spans="1:264" ht="16.5" customHeight="1" thickTop="1" thickBot="1" x14ac:dyDescent="0.55000000000000004">
      <c r="A8" s="204"/>
      <c r="B8" s="205"/>
      <c r="C8" s="206"/>
      <c r="D8" s="1343"/>
      <c r="E8" s="1534"/>
      <c r="F8" s="1535"/>
      <c r="J8" s="902" t="s">
        <v>957</v>
      </c>
      <c r="K8" s="1402" t="s">
        <v>904</v>
      </c>
      <c r="L8" s="113" t="s">
        <v>91</v>
      </c>
      <c r="M8" s="1124"/>
      <c r="P8" s="259">
        <f>IF(M8&lt;&gt;"",M8,IF($A$5=8,12,IF($A$5=9,18,IF($A$5=10,29,IF(AND(P6&lt;&gt;"",P7&lt;&gt;""),ROUND(P6/P7,0),"")))))</f>
        <v>18</v>
      </c>
      <c r="Q8" s="1536" t="str">
        <f>IF(P8="","",IF(AND(AU4&lt;&gt;"",P8&lt;AU4),"Atenção: nº insuficiente de Sprinklers",IF(AND(AU4&lt;&gt;"",P8&gt;AU4),"Nº de Sprinklers imposto pelo utilizador",IF(OR($A$5=1,$A$5=2,$A$5=3,$A$5=4,$A$5=5,$A$5=6,$A$5=7,AND($A$5&gt;=11,$A$5&lt;=18)),"Característica obtida por cálculo","Função da Utilização Tipo (UT)"))))</f>
        <v>Característica obtida por cálculo</v>
      </c>
      <c r="R8" s="1537"/>
      <c r="S8" s="1537"/>
      <c r="T8" s="1537"/>
      <c r="U8" s="1537"/>
      <c r="V8" s="1537"/>
      <c r="W8" s="1537"/>
      <c r="AB8" s="177"/>
      <c r="AC8" s="177"/>
      <c r="AD8" s="177"/>
      <c r="AE8" s="177"/>
      <c r="AF8" s="176"/>
      <c r="AG8" s="909" t="s">
        <v>858</v>
      </c>
      <c r="AH8" s="1288" t="s">
        <v>922</v>
      </c>
      <c r="AI8" s="3" t="str">
        <f>IF(AU8="","? "&amp;AT8,ROUND(AU8,$BH$5)&amp;" "&amp;AT8)</f>
        <v>60 l/min</v>
      </c>
      <c r="AJ8" s="1549"/>
      <c r="AK8" s="1550"/>
      <c r="AL8" s="177"/>
      <c r="AM8" s="176"/>
      <c r="AN8" s="909" t="s">
        <v>940</v>
      </c>
      <c r="AO8" s="1267"/>
      <c r="AP8" s="1283" t="s">
        <v>932</v>
      </c>
      <c r="AQ8" s="1268" t="str">
        <f>IF(AND(AX8="",AX6=""),"? m",IF(AND(AX8="",P14=0),"? m",IF(AX8="","",ROUND(AX8,1)&amp;" m")))</f>
        <v>? m</v>
      </c>
      <c r="AR8" s="1131"/>
      <c r="AS8" s="4"/>
      <c r="AT8" s="113" t="str">
        <f>BG4</f>
        <v>l/min</v>
      </c>
      <c r="AU8" s="492">
        <f>IF(OR(P10="",P7="",P11=""),"",IF(AJ$8&lt;&gt;"",AJ$8,IF(P10*P7&lt;$B$17*($P$11*SQRT(50/100)),$B$17*($P$11*SQRT(50/100)),P10*P7)))</f>
        <v>60</v>
      </c>
      <c r="AW8" s="921" t="s">
        <v>40</v>
      </c>
      <c r="AX8" s="923" t="str">
        <f>IF(AR8="","",IF(AR8&gt;=0,AR8,""))</f>
        <v/>
      </c>
      <c r="BC8" s="672">
        <v>4</v>
      </c>
      <c r="BD8" s="888" t="s">
        <v>650</v>
      </c>
      <c r="BE8" s="672"/>
      <c r="BF8" s="672"/>
      <c r="BG8" s="672"/>
      <c r="BH8" s="137"/>
      <c r="BJ8" s="672">
        <v>4</v>
      </c>
      <c r="BK8" s="888" t="s">
        <v>649</v>
      </c>
      <c r="BL8" s="672"/>
      <c r="BM8" s="672"/>
      <c r="BN8" s="672"/>
      <c r="DP8" s="1008"/>
      <c r="DQ8" s="1008"/>
      <c r="DR8" s="1015" t="s">
        <v>570</v>
      </c>
      <c r="DS8" s="94" t="str">
        <f>IF(25-COUNTBLANK(DT9:ER9)=0,"",25-COUNTBLANK(DT9:ER9))</f>
        <v/>
      </c>
      <c r="DT8" s="763">
        <v>1</v>
      </c>
      <c r="DU8" s="763">
        <v>2</v>
      </c>
      <c r="DV8" s="763">
        <v>3</v>
      </c>
      <c r="DW8" s="763">
        <v>4</v>
      </c>
      <c r="DX8" s="763">
        <v>5</v>
      </c>
      <c r="DY8" s="763">
        <v>6</v>
      </c>
      <c r="DZ8" s="763">
        <v>7</v>
      </c>
      <c r="EA8" s="763">
        <v>8</v>
      </c>
      <c r="EB8" s="763">
        <v>9</v>
      </c>
      <c r="EC8" s="763">
        <v>10</v>
      </c>
      <c r="ED8" s="763">
        <v>11</v>
      </c>
      <c r="EE8" s="763">
        <v>12</v>
      </c>
      <c r="EF8" s="763">
        <v>13</v>
      </c>
      <c r="EG8" s="763">
        <v>14</v>
      </c>
      <c r="EH8" s="763">
        <v>15</v>
      </c>
      <c r="EI8" s="763">
        <v>16</v>
      </c>
      <c r="EJ8" s="763">
        <v>17</v>
      </c>
      <c r="EK8" s="763">
        <v>18</v>
      </c>
      <c r="EL8" s="763">
        <v>19</v>
      </c>
      <c r="EM8" s="763">
        <v>20</v>
      </c>
      <c r="EN8" s="763">
        <v>21</v>
      </c>
      <c r="EO8" s="763">
        <v>22</v>
      </c>
      <c r="EP8" s="763">
        <v>23</v>
      </c>
      <c r="EQ8" s="763">
        <v>24</v>
      </c>
      <c r="ER8" s="763">
        <v>25</v>
      </c>
    </row>
    <row r="9" spans="1:264" ht="16.5" customHeight="1" thickTop="1" thickBot="1" x14ac:dyDescent="0.55000000000000004">
      <c r="A9" s="204"/>
      <c r="B9" s="205"/>
      <c r="C9" s="206"/>
      <c r="D9" s="1343"/>
      <c r="E9" s="1534"/>
      <c r="F9" s="1535"/>
      <c r="G9" s="97"/>
      <c r="H9" s="97"/>
      <c r="I9" s="97"/>
      <c r="J9" s="906" t="s">
        <v>852</v>
      </c>
      <c r="K9" s="113" t="s">
        <v>89</v>
      </c>
      <c r="L9" s="113" t="s">
        <v>40</v>
      </c>
      <c r="M9" s="1125"/>
      <c r="P9" s="260">
        <f>IF(M9&lt;&gt;"",M9,IF($A$5=11,4.5,IF($A$5=1,4,IF(OR($A$5=2,$A$5=3,$A$5=4,$A$5=8,$A$5=9,$A$5=12,$A$5=13,$A$5=14,$A$5=15),3.45,IF(OR($A$5=5,$A$5=6,$A$5=10,$A$5=16,$A$5=17,$A$5=18),3,IF($A$5=7,"",""))))))</f>
        <v>3.45</v>
      </c>
      <c r="Q9" s="1536" t="str">
        <f>IF(P9="","Função da Classe de Risco",IF(P9&gt;4.6,"Atenção: Espaçamento superior ao permitido",IF(AND($A$5=11,P9&lt;=4.6),"Sprinklers em disposição normal (máx = 4,6 m)",IF(AND(OR($A$5=1,$A$5=2,$A$5=3,$A$5=4,$A$5=8,$A$5=9,$A$5=12,$A$5=13,$A$5=14,$A$5=15),P9&lt;=4),"Sprinklers em disposição normal (máx. = 4 m)",IF(AND(OR($A$5=2,$A$5=3,$A$5=4,$A$5=8,$A$5=9,$A$5=11),P9&gt;4,P9&lt;=4.6),"Sprinklers em disposição intercalada (máx. = 4,6 m)",IF(AND(OR($A$5=5,$A$5=6,$A$5=10,$A$5=16,$A$5=17,$A$5=18),P9&lt;=3.7),"Sprinklers em disposição normal (máx = 3,7 m)",IF($A$5=7,"","Atenção: Espaçamento superior ao permitido")))))))</f>
        <v>Sprinklers em disposição normal (máx. = 4 m)</v>
      </c>
      <c r="R9" s="1537"/>
      <c r="S9" s="1537"/>
      <c r="T9" s="1537"/>
      <c r="U9" s="1537"/>
      <c r="V9" s="1537"/>
      <c r="W9" s="1537"/>
      <c r="X9" s="56"/>
      <c r="Y9" s="56"/>
      <c r="AB9" s="177"/>
      <c r="AC9" s="177"/>
      <c r="AD9" s="177"/>
      <c r="AE9" s="177"/>
      <c r="AF9" s="176"/>
      <c r="AG9" s="909" t="s">
        <v>859</v>
      </c>
      <c r="AH9" s="1288" t="s">
        <v>923</v>
      </c>
      <c r="AI9" s="3" t="str">
        <f>IF(AU9="","? "&amp;AT9,ROUND(AU9,$BM$5)&amp;" "&amp;AT9)</f>
        <v>56,3 kPa</v>
      </c>
      <c r="AL9" s="177"/>
      <c r="AM9" s="176"/>
      <c r="AN9" s="909" t="s">
        <v>941</v>
      </c>
      <c r="AO9" s="1267"/>
      <c r="AP9" s="1283" t="s">
        <v>934</v>
      </c>
      <c r="AQ9" s="70" t="str">
        <f>IF(AX9="","? m",ROUND(AX9,2)&amp;" m")</f>
        <v>? m</v>
      </c>
      <c r="AS9" s="4"/>
      <c r="AT9" s="135" t="str">
        <f>BL4</f>
        <v>kPa</v>
      </c>
      <c r="AU9" s="676">
        <f>IF(OR(AU8="",P11="",P11=0),"",IF($B$18*100*($AU$8/$B$17/$P$11)^2&lt;50*$B$18,50*$B$18,$B$18*100*($AU$8/$B$17/$P$11)^2))</f>
        <v>56.25</v>
      </c>
      <c r="AV9" s="4"/>
      <c r="AW9" s="922" t="s">
        <v>40</v>
      </c>
      <c r="AX9" s="923" t="str">
        <f>IF(AX6="","",IF(AX8="",AX6*(1+$P$14),IF(AND(AX6&lt;&gt;"",AX8&lt;&gt;""),AX6+AX8)))</f>
        <v/>
      </c>
      <c r="AY9" s="4"/>
      <c r="BC9" s="2"/>
      <c r="BD9" s="2"/>
      <c r="BE9" s="2"/>
      <c r="BF9" s="2"/>
      <c r="BJ9" s="930" t="s">
        <v>695</v>
      </c>
      <c r="BK9" s="930"/>
      <c r="BL9" s="929"/>
      <c r="BM9" s="929"/>
      <c r="BN9" s="929"/>
      <c r="DP9" s="1008"/>
      <c r="DQ9" s="1008"/>
      <c r="DR9" s="1016" t="s">
        <v>742</v>
      </c>
      <c r="DS9" s="213" t="str">
        <f>IF($DS$8="","",HLOOKUP(DS8,DT8:ER9,2,FALSE))</f>
        <v/>
      </c>
      <c r="DT9" s="144" t="str">
        <f t="shared" ref="DT9:ER9" si="0">IF($EW$23="","",LOOKUP($EW$23,$EU$25:$EU$49,DT25:DT49))</f>
        <v/>
      </c>
      <c r="DU9" s="144" t="str">
        <f t="shared" si="0"/>
        <v/>
      </c>
      <c r="DV9" s="144" t="str">
        <f t="shared" si="0"/>
        <v/>
      </c>
      <c r="DW9" s="144" t="str">
        <f t="shared" si="0"/>
        <v/>
      </c>
      <c r="DX9" s="144" t="str">
        <f t="shared" si="0"/>
        <v/>
      </c>
      <c r="DY9" s="144" t="str">
        <f t="shared" si="0"/>
        <v/>
      </c>
      <c r="DZ9" s="144" t="str">
        <f t="shared" si="0"/>
        <v/>
      </c>
      <c r="EA9" s="144" t="str">
        <f t="shared" si="0"/>
        <v/>
      </c>
      <c r="EB9" s="144" t="str">
        <f t="shared" si="0"/>
        <v/>
      </c>
      <c r="EC9" s="144" t="str">
        <f t="shared" si="0"/>
        <v/>
      </c>
      <c r="ED9" s="144" t="str">
        <f t="shared" si="0"/>
        <v/>
      </c>
      <c r="EE9" s="144" t="str">
        <f t="shared" si="0"/>
        <v/>
      </c>
      <c r="EF9" s="144" t="str">
        <f t="shared" si="0"/>
        <v/>
      </c>
      <c r="EG9" s="144" t="str">
        <f t="shared" si="0"/>
        <v/>
      </c>
      <c r="EH9" s="144" t="str">
        <f t="shared" si="0"/>
        <v/>
      </c>
      <c r="EI9" s="144" t="str">
        <f t="shared" si="0"/>
        <v/>
      </c>
      <c r="EJ9" s="144" t="str">
        <f t="shared" si="0"/>
        <v/>
      </c>
      <c r="EK9" s="144" t="str">
        <f t="shared" si="0"/>
        <v/>
      </c>
      <c r="EL9" s="144" t="str">
        <f t="shared" si="0"/>
        <v/>
      </c>
      <c r="EM9" s="144" t="str">
        <f t="shared" si="0"/>
        <v/>
      </c>
      <c r="EN9" s="144" t="str">
        <f t="shared" si="0"/>
        <v/>
      </c>
      <c r="EO9" s="144" t="str">
        <f t="shared" si="0"/>
        <v/>
      </c>
      <c r="EP9" s="144" t="str">
        <f t="shared" si="0"/>
        <v/>
      </c>
      <c r="EQ9" s="144" t="str">
        <f t="shared" si="0"/>
        <v/>
      </c>
      <c r="ER9" s="144" t="str">
        <f t="shared" si="0"/>
        <v/>
      </c>
    </row>
    <row r="10" spans="1:264" ht="16.5" customHeight="1" thickTop="1" thickBot="1" x14ac:dyDescent="0.55000000000000004">
      <c r="A10" s="204"/>
      <c r="B10" s="493">
        <f>IF($A$5=11,2.25,IF($A$5=8,5,IF(OR($A$5=9,$A$5=12,$A$5=13,$A$5=14,$A$5=15),5,IF($A$5=16,7.5,IF(OR($A$5=10,$A$5=17),10,IF($A$5=18,12.5,""))))))</f>
        <v>5</v>
      </c>
      <c r="C10" s="206"/>
      <c r="D10" s="1343"/>
      <c r="E10" s="1534"/>
      <c r="F10" s="1535"/>
      <c r="G10" s="97"/>
      <c r="H10" s="97"/>
      <c r="I10" s="97"/>
      <c r="J10" s="902" t="s">
        <v>853</v>
      </c>
      <c r="K10" s="1402" t="s">
        <v>905</v>
      </c>
      <c r="L10" s="886" t="str">
        <f>IF($BC$4=2,"l/s.m²",IF($BC$4=3,"l/h.m²",IF($BC$4=4,"m³/h.m²","l/min.m²")))</f>
        <v>l/min.m²</v>
      </c>
      <c r="M10" s="1125"/>
      <c r="P10" s="260">
        <f>IF(AND(M10&lt;&gt;"",P6&lt;&gt;""),M10,IF($A$5=1,$B$17*CEILING(0.000004*P6^2-0.0112*P6+(5.5681+0.01),0.01),IF($A$5=2,$B$17*(CEILING(0.000009*P6^2-0.0154*P6+8.4806,0.01)),IF($A$5=3,$B$17*CEILING(0.000003*P6^2-0.0101*P6+(9.0632-0.06),0.01),IF($A$5=4,$B$17*CEILING(0.000006*P6^2-0.0113*P6+(9.9444+0.06),0.01),IF($A$5=5,$B$17*CEILING(-0.000003*P6^2-0.0104*P6+14.351,0.1),IF($A$5=6,$B$17*CEILING(0.000004*P6^2-0.015*P6+(18.379+0.03),0.1),IF($A$5=7,"",$B$17*B10))))))))</f>
        <v>5</v>
      </c>
      <c r="Q10" s="180" t="s">
        <v>324</v>
      </c>
      <c r="R10" s="71"/>
      <c r="S10" s="71"/>
      <c r="V10" s="71"/>
      <c r="AG10" s="1287" t="str">
        <f>IF(OR($DS$9="",$DS$9=0,$DT$9="",$DT$9=0),"Comprimento real crítico :","Comprimento real crítico, relativo ao trajecto "&amp;DS9&amp;"-"&amp;DT9&amp;" :")</f>
        <v>Comprimento real crítico :</v>
      </c>
      <c r="AH10" s="1288" t="s">
        <v>924</v>
      </c>
      <c r="AI10" s="3" t="str">
        <f>IF(AU10="","? m",ROUND(AU10,2)&amp;" "&amp;AT10)</f>
        <v>? m</v>
      </c>
      <c r="AL10" s="177"/>
      <c r="AM10" s="176"/>
      <c r="AN10" s="909" t="s">
        <v>868</v>
      </c>
      <c r="AO10" s="1267"/>
      <c r="AP10" s="1283" t="s">
        <v>935</v>
      </c>
      <c r="AQ10" s="70" t="str">
        <f>IF(OR(AQ5="? m",AX10="",AX10=0),"? "&amp;AW10,ROUND(AX10,$BH$5+2)&amp;" "&amp;AW10)</f>
        <v>? kPa</v>
      </c>
      <c r="AR10" s="1285"/>
      <c r="AS10" s="4"/>
      <c r="AT10" s="515" t="s">
        <v>40</v>
      </c>
      <c r="AU10" s="440" t="str">
        <f>IF(EW23="","",LOOKUP(EW23,EU25:EU49,FE25:FE49))</f>
        <v/>
      </c>
      <c r="AW10" s="922" t="str">
        <f>BL4</f>
        <v>kPa</v>
      </c>
      <c r="AX10" s="927">
        <f>IF(BC10="","",IF(OR(AX7="",AX7=0),BC10,BC10+AX7*$AU$19/$BK$11))</f>
        <v>0</v>
      </c>
      <c r="AY10" s="927">
        <f>IF(BD10="","",IF(OR(AX7="",AX7=0),BD10,BD10+AX7*$AU$19/BK11))</f>
        <v>0</v>
      </c>
      <c r="AZ10" s="1013" t="s">
        <v>692</v>
      </c>
      <c r="BA10" s="925" t="str">
        <f>IF(BC10=0,"",ROUND(BC10,$BM$5+2)&amp;" "&amp;BB10)</f>
        <v/>
      </c>
      <c r="BB10" s="922" t="str">
        <f>BL4</f>
        <v>kPa</v>
      </c>
      <c r="BC10" s="926">
        <f>IF(OR($P$16="",AX9="",AX5="",AU15=""),0,IF($M$15="",AX9*$B$18*$AU$19*61.7*100000*((AU15/$B$17)^1.85/($P$16^1.85*AX5^4.87)),AX9*$B$18*$AU$19*((4*$P$16*((AZ5^7)/(AX5/1000))^(1/4))/(AX5/1000))))</f>
        <v>0</v>
      </c>
      <c r="BD10" s="926">
        <f>IF(OR($P$16="",AX9="",AX5="",AU15=""),0,IF($M$15="",AX9*$B$18*$AU$19*61.7*100000*((MIN(R25:R49)/$B$17)^1.85/($P$16^1.85*AX5^4.87)),AX9*$B$18*$AU$19*((4*$P$16*((BA5^7)/(AX5/1000))^(1/4))/(AX5/1000))))</f>
        <v>0</v>
      </c>
      <c r="BE10" s="928" t="s">
        <v>693</v>
      </c>
      <c r="BJ10" s="932">
        <f>A17</f>
        <v>1</v>
      </c>
      <c r="BK10" s="931">
        <f>IF($BJ$10=2,60,IF($BJ$10=3,(1/60),IF($BJ$10=4,(1000/60),1)))</f>
        <v>1</v>
      </c>
      <c r="BL10" s="925" t="s">
        <v>45</v>
      </c>
      <c r="BM10" s="929"/>
      <c r="BN10" s="929"/>
    </row>
    <row r="11" spans="1:264" ht="16.5" customHeight="1" thickTop="1" thickBot="1" x14ac:dyDescent="0.35">
      <c r="A11" s="204"/>
      <c r="B11" s="205"/>
      <c r="C11" s="206"/>
      <c r="D11" s="1344"/>
      <c r="E11" s="1534"/>
      <c r="F11" s="1535"/>
      <c r="H11" s="56"/>
      <c r="I11" s="56"/>
      <c r="J11" s="901" t="str">
        <f>IF(P$11="","Coeficiente de caudal do sprinkler a utilizar :",IF(AND(P11&lt;&gt;"",OR(A$5=1,A$5=7,A$5=11),P11&gt;=54,P11&lt;=60),"Coeficiente de caudal do sprinkler DN 10 :",IF(AND(P11&lt;&gt;"",OR(A$5=2,A$5=3,A$5=4,$A$5=5,$A$5=6,A$5=7,A$5=8,A$5=9,A$5=12,A$5=13,A$5=14,A$5=15),P11&gt;=76,P11&lt;=84),"Coeficiente de caudal do sprinkler DN 15 :",IF(AND(P11&lt;&gt;"",OR($A$5=5,$A$5=6,A$5=7,$A$5=10,$A$5=16,$A$5=17,$A$5=18),P11&gt;=109,P11&lt;=121),"Coeficiente de caudal do sprinkler DN 20 :",""))))</f>
        <v>Coeficiente de caudal do sprinkler DN 15 :</v>
      </c>
      <c r="K11" s="886" t="s">
        <v>646</v>
      </c>
      <c r="L11" s="135" t="s">
        <v>647</v>
      </c>
      <c r="M11" s="1216"/>
      <c r="P11" s="261">
        <f>IF(M11&lt;&gt;"",M11,IF(OR(A$5=1,A$5=11),57,IF(OR(A$5=2,A$5=3,A$5=4,A$5=8,A$5=9,A$5=12,A$5=13,A$5=14,A$5=15),80,IF(OR($A$5=5,$A$5=6,$A$5=10,A$5=16,A$5=17,A$5=18),115,""))))</f>
        <v>80</v>
      </c>
      <c r="Q11" s="180" t="str">
        <f>IF(AND(M$11="",A$5&lt;&gt;7),"Assumido por defeito conforme Quadro 4",IF(AND(M11&lt;&gt;"",A$5=1,OR(M11&lt;54,M11&gt;60)),"Atenção: constante K fora de tolerância",IF(AND(M11&lt;&gt;"",OR(A$5=2,A$5=3,A$5=4,A$5=8,A$5=9),OR(M11&lt;76,M11&gt;84)),"Atenção: constante K fora de tolerância",IF(AND(M11&lt;&gt;"",OR($A$5=5,$A$5=6,$A$5=10),OR(M11&lt;109,M11&gt;121)),"Atenção: constante K fora de tolerância",IF(AND(M11&lt;&gt;"",A$5=7,OR(M11&lt;54,M11&gt;121)),"Recomenda-se um valor entre 54 e 121",IF(AND(M11&lt;&gt;"",A$5=7),"Valor imposto pelo utilizador",""))))))</f>
        <v>Assumido por defeito conforme Quadro 4</v>
      </c>
      <c r="R11" s="56"/>
      <c r="S11" s="56"/>
      <c r="T11" s="56"/>
      <c r="U11" s="56"/>
      <c r="V11" s="56"/>
      <c r="AB11" s="176"/>
      <c r="AC11" s="176"/>
      <c r="AD11" s="176"/>
      <c r="AE11" s="176"/>
      <c r="AF11" s="176"/>
      <c r="AG11" s="909" t="s">
        <v>860</v>
      </c>
      <c r="AH11" s="1289" t="s">
        <v>925</v>
      </c>
      <c r="AI11" s="3" t="str">
        <f>IF(AU11="","? "&amp;AT11,ROUND(AU11,$BM$5)&amp;" "&amp;AT11)</f>
        <v>? kPa</v>
      </c>
      <c r="AM11" s="1049"/>
      <c r="AN11" s="1049" t="str">
        <f>IF(AU15="","","Avaliação global :")</f>
        <v/>
      </c>
      <c r="AP11" s="2"/>
      <c r="AQ11" s="2"/>
      <c r="AS11" s="4"/>
      <c r="AT11" s="135" t="str">
        <f>AT9</f>
        <v>kPa</v>
      </c>
      <c r="AU11" s="676" t="str">
        <f>IF(OR($FE$111="",$FE$111=0),"",$FE$111)</f>
        <v/>
      </c>
      <c r="BJ11" s="932">
        <f>A18</f>
        <v>1</v>
      </c>
      <c r="BK11" s="931">
        <f>IF($BJ$11=2,100,IF($BJ$11=3,9.81,IF($BJ$11=4,98.1,1)))</f>
        <v>1</v>
      </c>
      <c r="BL11" s="925" t="s">
        <v>696</v>
      </c>
      <c r="BM11" s="931">
        <f>IF($BJ$11=2,100/AU19,IF($BJ$11=3,1,IF($BJ$11=4,10,1/AU19)))</f>
        <v>0.1019367991845056</v>
      </c>
      <c r="BN11" s="925" t="s">
        <v>697</v>
      </c>
      <c r="DS11" s="154" t="s">
        <v>207</v>
      </c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JD11" s="201"/>
    </row>
    <row r="12" spans="1:264" ht="16.5" customHeight="1" thickTop="1" thickBot="1" x14ac:dyDescent="0.55000000000000004">
      <c r="A12" s="204"/>
      <c r="B12" s="205"/>
      <c r="C12" s="206"/>
      <c r="D12" s="1343"/>
      <c r="E12" s="196"/>
      <c r="F12" s="196"/>
      <c r="G12" s="272"/>
      <c r="H12" s="272"/>
      <c r="I12" s="272"/>
      <c r="J12" s="855" t="str">
        <f>IF(Q12="Assumido por defeito nos ramais principais","Perda de carga dinâmica admissível - EN 12845 :","Perda de carga dinâmica adm. nos ramais principais :")</f>
        <v>Perda de carga dinâmica admissível - EN 12845 :</v>
      </c>
      <c r="K12" s="683" t="s">
        <v>938</v>
      </c>
      <c r="L12" s="886" t="str">
        <f>AJ24</f>
        <v>kPa</v>
      </c>
      <c r="M12" s="1126"/>
      <c r="P12" s="697">
        <f>IF(OR(M12="",M12=0),50*$B$18,M12)</f>
        <v>50</v>
      </c>
      <c r="Q12" s="180" t="str">
        <f>IF(M$12="","Assumido por defeito nos ramais principais","Valor imposto pelo utilizador")</f>
        <v>Assumido por defeito nos ramais principais</v>
      </c>
      <c r="R12" s="56"/>
      <c r="S12" s="56"/>
      <c r="T12" s="56"/>
      <c r="U12" s="56"/>
      <c r="V12" s="56"/>
      <c r="AB12" s="176"/>
      <c r="AC12" s="176"/>
      <c r="AD12" s="176"/>
      <c r="AE12" s="176"/>
      <c r="AF12" s="176"/>
      <c r="AG12" s="909" t="s">
        <v>861</v>
      </c>
      <c r="AH12" s="1289" t="s">
        <v>926</v>
      </c>
      <c r="AI12" s="3" t="str">
        <f>IF(AU12="","? "&amp;AT12,ROUND(AU12,$BM$5)&amp;" "&amp;AT12)</f>
        <v>? kPa</v>
      </c>
      <c r="AJ12" s="1515" t="str">
        <f>IF(OR($AU$12="",$AU$12=0),"",IF($AU$12&lt;=$P$12,"","N.C."))</f>
        <v/>
      </c>
      <c r="AK12" s="1516"/>
      <c r="AL12" s="1508" t="str">
        <f>IF(MAX(H25:H49)&gt;AU6,"Verificar Não Conformidades",IF(AND(AY24&gt;=1,AY24&lt;50),"Introdução de dados em curso",IF(AY24&gt;=50,"Erros na codificação dos troços",IF(OR($AU$12="",$AU$12=0),"",IF($AJ$12="N.C.","Valor(es) Superior(es) ao Permitido",IF(OR($CR$50&lt;&gt;0,$CR$54&lt;&gt;0,$AS$24&lt;&gt;0,J21=" Erro: L não pode ser inferior a h"),"Verificar Não Conformidades","Dimensionamento Conforme"))))))</f>
        <v/>
      </c>
      <c r="AM12" s="1509"/>
      <c r="AN12" s="1509"/>
      <c r="AO12" s="1509"/>
      <c r="AP12" s="1509"/>
      <c r="AQ12" s="1509"/>
      <c r="AR12" s="1510"/>
      <c r="AS12" s="70"/>
      <c r="AT12" s="135" t="str">
        <f>AT11</f>
        <v>kPa</v>
      </c>
      <c r="AU12" s="676" t="str">
        <f>IF(OR($FD$111="",$FD$111=0),"",$FD$111)</f>
        <v/>
      </c>
      <c r="AW12" s="1237">
        <f>IF(OR(AX7="",AX7=0,AX7&lt;0),1,2)</f>
        <v>1</v>
      </c>
      <c r="AX12" s="1238" t="s">
        <v>837</v>
      </c>
      <c r="AY12" s="1239"/>
      <c r="AZ12" s="1239"/>
      <c r="BA12" s="1239"/>
      <c r="BB12" s="1239"/>
      <c r="BC12" s="1238" t="s">
        <v>838</v>
      </c>
      <c r="BD12" s="1239">
        <f>IF(AW12=1,1.8,1.5)</f>
        <v>1.8</v>
      </c>
      <c r="BE12" s="1238" t="s">
        <v>51</v>
      </c>
      <c r="BF12" s="1238" t="s">
        <v>839</v>
      </c>
      <c r="BG12" s="1239" t="str">
        <f>IF(OR(MAX(W25:W49)="",MAX(W25:W49)=0),"",IF(AW12=1,68.9,80.9))</f>
        <v/>
      </c>
      <c r="BH12" s="1238" t="s">
        <v>39</v>
      </c>
      <c r="BI12" s="1242" t="s">
        <v>839</v>
      </c>
      <c r="BJ12" s="1243" t="str">
        <f>IF(BG12="","",MAX(BG12,BN12))</f>
        <v/>
      </c>
      <c r="BK12" s="1242" t="s">
        <v>39</v>
      </c>
      <c r="BL12" s="1240" t="str">
        <f>IF(OR(BG12="",AU15=""),"",4.6*SQRT((AU15*1.4*$BK$10)/BD12))</f>
        <v/>
      </c>
      <c r="BM12" s="1240" t="str">
        <f>IF(AU15="","",IF(BL12&lt;='Quadro 1'!$G$10,'Quadro 1'!$G$10,IF(BL12&lt;='Quadro 1'!$G$11,'Quadro 1'!$G$11,IF(BL12&lt;='Quadro 1'!$G$12,'Quadro 1'!$G$12,IF(BL12&lt;='Quadro 1'!$G$13,'Quadro 1'!$G$13,IF(BL12&lt;='Quadro 1'!$G$14,'Quadro 1'!$G$14,IF(BL12&lt;='Quadro 1'!$G$15,'Quadro 1'!$G$15,IF(BL12&lt;='Quadro 1'!$G$16,'Quadro 1'!$G$16,""))))))))</f>
        <v/>
      </c>
      <c r="BN12" s="1240">
        <f>MIN(BM12,BM13)</f>
        <v>0</v>
      </c>
      <c r="BO12" s="1238" t="s">
        <v>840</v>
      </c>
      <c r="BP12" s="1239"/>
      <c r="BQ12" s="1239"/>
      <c r="BR12" s="1239"/>
      <c r="BS12" s="1239"/>
      <c r="BT12" s="1241" t="s">
        <v>841</v>
      </c>
      <c r="BU12" s="1240" t="str">
        <f>IF(OR(AX5="",AX5=0,AU15=0,AU15=""),"",((AU15*1.4/(60/$BK$10))/1000)/((PI()*(AX5/1000)^2)/4))</f>
        <v/>
      </c>
      <c r="BV12" s="1238" t="s">
        <v>51</v>
      </c>
      <c r="DS12" s="155"/>
      <c r="JB12" s="201"/>
      <c r="JC12" s="201"/>
    </row>
    <row r="13" spans="1:264" ht="16.5" customHeight="1" thickTop="1" thickBot="1" x14ac:dyDescent="0.55000000000000004">
      <c r="A13" s="204"/>
      <c r="B13" s="207"/>
      <c r="C13" s="208"/>
      <c r="D13" s="1343"/>
      <c r="E13" s="272"/>
      <c r="F13" s="272"/>
      <c r="G13" s="272"/>
      <c r="H13" s="272"/>
      <c r="I13" s="272"/>
      <c r="J13" s="855" t="str">
        <f>IF(P13=6,"Velocidade de escoamento admissível - EN 12845 :", "Velocidade admissível imposta pelo utilizador :")</f>
        <v>Velocidade de escoamento admissível - EN 12845 :</v>
      </c>
      <c r="K13" s="1403" t="s">
        <v>362</v>
      </c>
      <c r="L13" s="135" t="s">
        <v>51</v>
      </c>
      <c r="M13" s="1126"/>
      <c r="P13" s="697">
        <f>IF(OR(M13="",M13=0),6,M13)</f>
        <v>6</v>
      </c>
      <c r="Q13" s="833" t="str">
        <f>"Gama imposta: "&amp;AV23&amp;" ≤ V ≤ "&amp;AX23&amp;" m/s"</f>
        <v>Gama imposta: 0,5 ≤ V ≤ 6 m/s</v>
      </c>
      <c r="R13" s="56"/>
      <c r="S13" s="56"/>
      <c r="T13" s="56"/>
      <c r="U13" s="1130"/>
      <c r="V13" s="56"/>
      <c r="AB13" s="177"/>
      <c r="AC13" s="177"/>
      <c r="AD13" s="177"/>
      <c r="AE13" s="177"/>
      <c r="AF13" s="176"/>
      <c r="AG13" s="909" t="s">
        <v>862</v>
      </c>
      <c r="AH13" s="1288" t="s">
        <v>927</v>
      </c>
      <c r="AI13" s="3" t="str">
        <f>IF(AU13="","? mm",ROUND(AU13,2)&amp;" "&amp;AT13)</f>
        <v>? mm</v>
      </c>
      <c r="AP13" s="441"/>
      <c r="AS13" s="4"/>
      <c r="AT13" s="113" t="s">
        <v>39</v>
      </c>
      <c r="AU13" s="440" t="str">
        <f>IF(EJ128="","",EJ128)</f>
        <v/>
      </c>
      <c r="BM13" s="1240" t="str">
        <f>IF(AU15="","",IF(BL12&lt;='Quadro 1'!$G$17,'Quadro 1'!$G$17,IF(BL12&lt;='Quadro 1'!$G$18,'Quadro 1'!$G$18,IF(BL12&lt;='Quadro 1'!$G$19,'Quadro 1'!$G$19,IF(BL12&lt;='Quadro 1'!$G$20,'Quadro 1'!$G$20,IF(BL12&lt;='Quadro 1'!$G$21,'Quadro 1'!$G$21,IF(BL12&lt;='Quadro 1'!$G$22,'Quadro 1'!$G$22,IF(BL12&lt;='Quadro 1'!$G$23,'Quadro 1'!$G$23,'Quadro 1'!$G$23))))))))</f>
        <v/>
      </c>
      <c r="BQ13" s="1239"/>
      <c r="BR13" s="1239"/>
      <c r="BS13" s="1239"/>
      <c r="BT13" s="1241" t="s">
        <v>842</v>
      </c>
      <c r="BU13" s="1240" t="str">
        <f>IF(OR(AX5="",AX5=0,AU15=0,AU15=""),"",((AU15/(60/$BK$10))/1000)/((PI()*(AX5/1000)^2)/4))</f>
        <v/>
      </c>
      <c r="BV13" s="1238" t="s">
        <v>51</v>
      </c>
      <c r="DS13" s="155"/>
    </row>
    <row r="14" spans="1:264" ht="16.5" customHeight="1" thickTop="1" thickBot="1" x14ac:dyDescent="0.55000000000000004">
      <c r="A14" s="209"/>
      <c r="B14" s="210"/>
      <c r="C14" s="211"/>
      <c r="D14" s="1343"/>
      <c r="G14" s="56"/>
      <c r="H14" s="97"/>
      <c r="I14" s="97"/>
      <c r="J14" s="906" t="s">
        <v>958</v>
      </c>
      <c r="K14" s="1402" t="s">
        <v>906</v>
      </c>
      <c r="L14" s="113" t="s">
        <v>95</v>
      </c>
      <c r="M14" s="1127"/>
      <c r="P14" s="262">
        <f>IF(M14&lt;&gt;"",M14,IF(SUM($L$25:$L$49)=0,0.25,0))</f>
        <v>0.25</v>
      </c>
      <c r="Q14" s="98" t="s">
        <v>100</v>
      </c>
      <c r="S14" s="56"/>
      <c r="T14" s="56"/>
      <c r="U14" s="96"/>
      <c r="V14" s="96"/>
      <c r="W14" s="96"/>
      <c r="X14" s="56"/>
      <c r="Y14" s="56"/>
      <c r="Z14" s="185"/>
      <c r="AB14" s="176"/>
      <c r="AC14" s="176"/>
      <c r="AD14" s="176"/>
      <c r="AE14" s="176"/>
      <c r="AF14" s="278"/>
      <c r="AG14" s="909" t="s">
        <v>863</v>
      </c>
      <c r="AH14" s="1288" t="s">
        <v>928</v>
      </c>
      <c r="AI14" s="3" t="str">
        <f>IF(AU14="","? "&amp;AT14,IF(AV14="",ROUND(AU14,$BM$5)&amp;" "&amp;AT14,ROUND(AU14,$BM$5)&amp;" "&amp;AT14&amp;" ["&amp;ROUND(AV14,$BM$5)&amp;"]"))</f>
        <v>? kPa</v>
      </c>
      <c r="AO14" s="681"/>
      <c r="AT14" s="135" t="str">
        <f>AT12</f>
        <v>kPa</v>
      </c>
      <c r="AU14" s="440" t="str">
        <f>IF(AU11="","",IF(AX10="",AU9+AU11+SUMIF(D$25:D$49,"",K$25:K$49)*$AU$19*$B$18,AU9+AU11+SUMIF(D$25:D$49,"",K$25:K$49)*$AU$19*$B$18+AX10))</f>
        <v/>
      </c>
      <c r="AV14" s="440" t="str">
        <f>IF(AU14="","",IF(AND('Curvas da Instalação'!C38&lt;&gt;"",'Curvas da Instalação'!C38&gt;0,'Curvas da Instalação'!D38&gt;1.05*AU15),'Curvas da Instalação'!C38,""))</f>
        <v/>
      </c>
      <c r="AX14" s="2"/>
      <c r="BL14" s="137"/>
      <c r="DS14" s="160"/>
      <c r="DT14" s="161" t="str">
        <f>IF(MAX(DT22:ER22)=MIN(DT22:ER22),$EE$14,IF(OR($DV14="erro",$DV15="erro",$DV16="erro",$DV17="erro"),"",$DU$14))</f>
        <v/>
      </c>
      <c r="DU14" s="162" t="str">
        <f>IF(DV14&lt;&gt;"",DV14,IF(DV15&lt;&gt;"",DV15,IF(DV16&lt;&gt;"",DV16,IF(DV17&lt;&gt;"",DV17,""))))</f>
        <v/>
      </c>
      <c r="DV14" s="163" t="str">
        <f>IF(DW14&lt;&gt;"",DW14,IF(DX14&lt;&gt;"",DX14,IF(DY14&lt;&gt;"",DY14,IF(DZ14&lt;&gt;"",DZ14,""))))</f>
        <v/>
      </c>
      <c r="DW14" s="164" t="str">
        <f>IF(DT18&lt;&gt;"",DT18,IF(DU18&lt;&gt;"",DU18,IF(DV18&lt;&gt;"",DV18,IF(DW18&lt;&gt;"",DW18,IF(DX18&lt;&gt;"",DX18,IF(DY18&lt;&gt;"",DY18,IF(DZ18&lt;&gt;"",DZ18,"")))))))</f>
        <v/>
      </c>
      <c r="DX14" s="164" t="str">
        <f>IF(EA18&lt;&gt;"",EA18,IF(EB18&lt;&gt;"",EB18,IF(EC18&lt;&gt;"",EC18,IF(ED18&lt;&gt;"",ED18,IF(EE18&lt;&gt;"",EE18,IF(EF18&lt;&gt;"",EF18,IF(EG18&lt;&gt;"",EG18,"")))))))</f>
        <v/>
      </c>
      <c r="DY14" s="164" t="str">
        <f>IF(EH18&lt;&gt;"",EH18,IF(EI18&lt;&gt;"",EI18,IF(EJ18&lt;&gt;"",EJ18,IF(EK18&lt;&gt;"",EK18,IF(EL18&lt;&gt;"",EL18,IF(EM18&lt;&gt;"",EM18,""))))))</f>
        <v/>
      </c>
      <c r="DZ14" s="164" t="str">
        <f>IF(EN18&lt;&gt;"",EN18,IF(EO18&lt;&gt;"",EO18,IF(EP18&lt;&gt;"",EP18,IF(EQ18&lt;&gt;"",EQ18,IF(ER18&lt;&gt;"",ER18,"")))))</f>
        <v/>
      </c>
      <c r="EB14" s="165" t="str">
        <f>IF($DU$14=$FG25,"erro",IF($DU$14=$FG26,"erro",IF($DU$14=$FG27,"erro",IF($DU$14=$FG28,"erro",IF($DU$14=$FG29,"erro",IF($DU$14=$FG30,"erro",IF($DU$14=$FG31,"erro","")))))))</f>
        <v/>
      </c>
      <c r="ED14" s="166" t="str">
        <f>IF($DU$14=$FG25,$FF25,IF($DU$14=$FG26,$FF26,IF($DU$14=$FG27,$FF27,IF($DU$14=$FG28,$FF28,IF($DU$14=$FG29,$FF29,IF($DU$14=$FG30,$FF30,IF($DU$14=$FG31,$FF31,"")))))))</f>
        <v/>
      </c>
      <c r="EE14" s="166" t="str">
        <f>IF(ED14&lt;&gt;"",ED14,IF(ED15&lt;&gt;"",ED15,IF(ED16&lt;&gt;"",ED16,IF(ED17&lt;&gt;"",ED17,""))))</f>
        <v/>
      </c>
      <c r="FB14" s="266"/>
      <c r="FC14" s="266"/>
      <c r="FD14" s="270"/>
    </row>
    <row r="15" spans="1:264" ht="16.5" customHeight="1" thickTop="1" thickBot="1" x14ac:dyDescent="0.4">
      <c r="A15" s="209"/>
      <c r="B15" s="210"/>
      <c r="C15" s="211"/>
      <c r="D15" s="1343"/>
      <c r="E15" s="56"/>
      <c r="F15" s="56"/>
      <c r="G15" s="56"/>
      <c r="H15" s="97"/>
      <c r="I15" s="97"/>
      <c r="J15" s="56"/>
      <c r="L15" s="902" t="s">
        <v>854</v>
      </c>
      <c r="M15" s="1128"/>
      <c r="P15" s="141" t="str">
        <f>IF(M15=""," Cálculo efectuado através da fórmula de Hazen &amp; Williams","  Cálculo efectuado através da fórmula de Flamant")</f>
        <v xml:space="preserve"> Cálculo efectuado através da fórmula de Hazen &amp; Williams</v>
      </c>
      <c r="Q15" s="129"/>
      <c r="R15" s="140"/>
      <c r="S15" s="140"/>
      <c r="T15" s="140"/>
      <c r="U15" s="140"/>
      <c r="V15" s="140"/>
      <c r="W15" s="140"/>
      <c r="X15" s="140"/>
      <c r="Y15" s="140"/>
      <c r="AB15" s="176"/>
      <c r="AC15" s="176"/>
      <c r="AD15" s="176"/>
      <c r="AE15" s="176"/>
      <c r="AF15" s="692"/>
      <c r="AG15" s="909" t="s">
        <v>864</v>
      </c>
      <c r="AH15" s="1288" t="s">
        <v>929</v>
      </c>
      <c r="AI15" s="3" t="str">
        <f>IF(AU15="","? "&amp;AT15,IF(AV15="",ROUND(AU15,$BH$5)&amp;" "&amp;AT15,ROUND(AU15,$BH$5)&amp;" "&amp;AT15&amp;" ["&amp;ROUND(AV15,$BH$5)&amp;"]"))</f>
        <v>? l/min</v>
      </c>
      <c r="AO15" s="689"/>
      <c r="AT15" s="279" t="str">
        <f>AT8</f>
        <v>l/min</v>
      </c>
      <c r="AU15" s="1101" t="str">
        <f>IF(MAX(R25:R49)=0,"",MAX(R25:R49))</f>
        <v/>
      </c>
      <c r="AV15" s="690" t="str">
        <f>IF(AU15="","",IF(AND('Curvas da Instalação'!D38&lt;&gt;"",'Curvas da Instalação'!D38&gt;0,'Curvas da Instalação'!D38&gt;1.05*AU15),'Curvas da Instalação'!D38,""))</f>
        <v/>
      </c>
      <c r="AW15" s="1101" t="str">
        <f>IF(MAX(R25:R49)=0,"",MAX(R25:R49))</f>
        <v/>
      </c>
      <c r="DS15" s="160"/>
      <c r="DV15" s="163" t="str">
        <f>IF(DW15&lt;&gt;"",DW15,IF(DX15&lt;&gt;"",DX15,IF(DY15&lt;&gt;"",DY15,IF(DZ15&lt;&gt;"",DZ15,""))))</f>
        <v/>
      </c>
      <c r="DW15" s="164" t="str">
        <f>IF(DT19&lt;&gt;"",DT19,IF(DU19&lt;&gt;"",DU19,IF(DV19&lt;&gt;"",DV19,IF(DW19&lt;&gt;"",DW19,IF(DX19&lt;&gt;"",DX19,IF(DY19&lt;&gt;"",DY19,IF(DZ19&lt;&gt;"",DZ19,"")))))))</f>
        <v/>
      </c>
      <c r="DX15" s="164" t="str">
        <f>IF(EA19&lt;&gt;"",EA19,IF(EB19&lt;&gt;"",EB19,IF(EC19&lt;&gt;"",EC19,IF(ED19&lt;&gt;"",ED19,IF(EE19&lt;&gt;"",EE19,IF(EF19&lt;&gt;"",EF19,IF(EG19&lt;&gt;"",EG19,"")))))))</f>
        <v/>
      </c>
      <c r="DY15" s="164" t="str">
        <f>IF(EH19&lt;&gt;"",EH19,IF(EI19&lt;&gt;"",EI19,IF(EJ19&lt;&gt;"",EJ19,IF(EK19&lt;&gt;"",EK19,IF(EL19&lt;&gt;"",EL19,IF(EM19&lt;&gt;"",EM19,""))))))</f>
        <v/>
      </c>
      <c r="DZ15" s="164" t="str">
        <f>IF(EN19&lt;&gt;"",EN19,IF(EO19&lt;&gt;"",EO19,IF(EP19&lt;&gt;"",EP19,IF(EQ19&lt;&gt;"",EQ19,IF(ER19&lt;&gt;"",ER19,"")))))</f>
        <v/>
      </c>
      <c r="EB15" s="165" t="str">
        <f>IF($DU$14=$FG32,"erro",IF($DU$14=$FG33,"erro",IF($DU$14=$FG34,"erro",IF($DU$14=$FG35,"erro",IF($DU$14=$FG36,"erro",IF($DU$14=$FG37,"erro",IF($DU$14=$FG38,"erro","")))))))</f>
        <v/>
      </c>
      <c r="ED15" s="166" t="str">
        <f>IF($DU$14=$FG32,$FF32,IF($DU$14=$FG33,$FF33,IF($DU$14=$FG34,$FF34,IF($DU$14=$FG35,$FF35,IF($DU$14=$FG36,$FF36,IF($DU$14=$FG37,$FF37,IF($DU$14=$FG38,$FF38,"")))))))</f>
        <v/>
      </c>
      <c r="FB15" s="43"/>
      <c r="FC15" s="43"/>
    </row>
    <row r="16" spans="1:264" ht="16.5" customHeight="1" thickTop="1" thickBot="1" x14ac:dyDescent="0.35">
      <c r="A16" s="209"/>
      <c r="B16" s="210"/>
      <c r="C16" s="211"/>
      <c r="D16" s="1343"/>
      <c r="E16" s="271"/>
      <c r="F16" s="271"/>
      <c r="G16" s="271"/>
      <c r="H16" s="271"/>
      <c r="I16" s="56"/>
      <c r="J16" s="56"/>
      <c r="K16" s="855" t="s">
        <v>855</v>
      </c>
      <c r="L16" s="113" t="str">
        <f>IF(M15="","C","b")</f>
        <v>C</v>
      </c>
      <c r="M16" s="1129"/>
      <c r="P16" s="264">
        <f>IF(AND(M15="",OR(M16="",M16=0,M16&lt;100,M16&gt;125)),ROUND(120,1),IF(AND(OR(M15="x",M15&lt;&gt;""),OR(M16="",M16=0,M16&lt;0.000185,M16&gt;0.00028)),ROUND(0.00023,5),M16))</f>
        <v>120</v>
      </c>
      <c r="Q16" s="907" t="str">
        <f>IF(AND(M15="",M16&lt;&gt;120,M16&lt;&gt;""),"Atenção, utilizar: Aço Galvanizado=120 ; Aço Preto=100.",IF(AND(M15="x",M16&lt;&gt;0.00023,M16&lt;&gt;""),"Atenção, o valor a usar em tubagens de aço é 0,00023","Valor típico para tubagens em aço preto / galvanizado"))</f>
        <v>Valor típico para tubagens em aço preto / galvanizado</v>
      </c>
      <c r="T16" s="140"/>
      <c r="AB16" s="1003"/>
      <c r="AC16" s="1003"/>
      <c r="AD16" s="1003"/>
      <c r="AE16" s="1003"/>
      <c r="AF16" s="1005"/>
      <c r="AG16" s="1002" t="str">
        <f>IF(AJ16&lt;&gt;"","Potência mínima da fonte de pressão (μ="&amp;AJ16*100&amp;"%) :","Potência mínima da fonte de pressão (μ=75%) :")</f>
        <v>Potência mínima da fonte de pressão (μ=75%) :</v>
      </c>
      <c r="AH16" s="1288" t="s">
        <v>939</v>
      </c>
      <c r="AI16" s="3" t="str">
        <f>IF(OR(AU16="",AU16=0),"? kW",ROUND(AU16,2)&amp;" "&amp;AT16)</f>
        <v>? kW</v>
      </c>
      <c r="AJ16" s="1513"/>
      <c r="AK16" s="1514"/>
      <c r="AL16" s="918"/>
      <c r="AR16" s="1"/>
      <c r="AS16" s="1"/>
      <c r="AT16" s="279" t="s">
        <v>534</v>
      </c>
      <c r="AU16" s="690" t="str">
        <f>IF(OR(AU14="",AU15=""),"",(((AU14/$B$18)*((AU15/$B$17)/60))/AV16)/1000)</f>
        <v/>
      </c>
      <c r="AV16" s="693">
        <f>IF(AJ$16&lt;&gt;"",AJ$16,0.75)</f>
        <v>0.75</v>
      </c>
      <c r="AW16" s="690" t="str">
        <f>IF(AU16="","",AU16*1000/736)</f>
        <v/>
      </c>
      <c r="AX16" s="914" t="str">
        <f>IF(AU16="","","CV")</f>
        <v/>
      </c>
      <c r="DS16" s="160"/>
      <c r="DV16" s="163" t="str">
        <f>IF(DW16&lt;&gt;"",DW16,IF(DX16&lt;&gt;"",DX16,IF(DY16&lt;&gt;"",DY16,IF(DZ16&lt;&gt;"",DZ16,""))))</f>
        <v/>
      </c>
      <c r="DW16" s="164" t="str">
        <f>IF(DT20&lt;&gt;"",DT20,IF(DU20&lt;&gt;"",DU20,IF(DV20&lt;&gt;"",DV20,IF(DW20&lt;&gt;"",DW20,IF(DX20&lt;&gt;"",DX20,IF(DY20&lt;&gt;"",DY20,IF(DZ20&lt;&gt;"",DZ20,"")))))))</f>
        <v/>
      </c>
      <c r="DX16" s="164" t="str">
        <f>IF(EA20&lt;&gt;"",EA20,IF(EB20&lt;&gt;"",EB20,IF(EC20&lt;&gt;"",EC20,IF(ED20&lt;&gt;"",ED20,IF(EE20&lt;&gt;"",EE20,IF(EF20&lt;&gt;"",EF20,IF(EG20&lt;&gt;"",EG20,"")))))))</f>
        <v/>
      </c>
      <c r="DY16" s="164" t="str">
        <f>IF(EH20&lt;&gt;"",EH20,IF(EI20&lt;&gt;"",EI20,IF(EJ20&lt;&gt;"",EJ20,IF(EK20&lt;&gt;"",EK20,IF(EL20&lt;&gt;"",EL20,IF(EM20&lt;&gt;"",EM20,""))))))</f>
        <v/>
      </c>
      <c r="DZ16" s="164" t="str">
        <f>IF(EN20&lt;&gt;"",EN20,IF(EO20&lt;&gt;"",EO20,IF(EP20&lt;&gt;"",EP20,IF(EQ20&lt;&gt;"",EQ20,IF(ER20&lt;&gt;"",ER20,"")))))</f>
        <v/>
      </c>
      <c r="EB16" s="165" t="str">
        <f>IF($DU$14=$FG39,"erro",IF($DU$14=$FG40,"erro",IF($DU$14=$FG41,"erro",IF($DU$14=$FG42,"erro",IF($DU$14=$FG43,"erro",IF($DU$14=$FG44,"erro",""))))))</f>
        <v/>
      </c>
      <c r="ED16" s="166" t="str">
        <f>IF($DU$14=$FG39,$FF39,IF($DU$14=$FG40,$FF40,IF($DU$14=$FG41,$FF41,IF($DU$14=$FG42,$FF42,IF($DU$14=$FG43,$FF43,IF($DU$14=$FG44,$FF44,""))))))</f>
        <v/>
      </c>
      <c r="FB16" s="31"/>
      <c r="FC16" s="31"/>
    </row>
    <row r="17" spans="1:262" ht="15" customHeight="1" thickTop="1" thickBot="1" x14ac:dyDescent="0.35">
      <c r="A17" s="493">
        <v>1</v>
      </c>
      <c r="B17" s="675">
        <f>IF($A$17=2,(1/60),IF($BC$4=3,(60),IF($BC$4=4,(60/1000),(1))))</f>
        <v>1</v>
      </c>
      <c r="C17" s="211"/>
      <c r="D17" s="679"/>
      <c r="E17" s="71"/>
      <c r="I17" s="56"/>
      <c r="J17" s="56"/>
      <c r="K17" s="906" t="s">
        <v>856</v>
      </c>
      <c r="L17" s="674"/>
      <c r="M17" s="137"/>
      <c r="P17" s="668" t="str">
        <f>" Caudais expressos em "&amp;BG4&amp;"."</f>
        <v xml:space="preserve"> Caudais expressos em l/min.</v>
      </c>
      <c r="Q17" s="56"/>
      <c r="R17" s="56"/>
      <c r="S17" s="71"/>
      <c r="U17" s="71"/>
      <c r="V17" s="71"/>
      <c r="W17" s="71"/>
      <c r="X17" s="71"/>
      <c r="Y17" s="71"/>
      <c r="AC17" s="472"/>
      <c r="AD17" s="175"/>
      <c r="AH17" s="902" t="s">
        <v>944</v>
      </c>
      <c r="AI17" s="3" t="str">
        <f>IF(AX7="","? m.c.a.",IF(AND(BC10&lt;&gt;"",AX7&gt;0),ROUND(AU17,1)&amp;" m.c.a.","Não Aplicável"))</f>
        <v>Não Aplicável</v>
      </c>
      <c r="AN17" s="889"/>
      <c r="AO17" s="889"/>
      <c r="AP17" s="890"/>
      <c r="AT17" s="922" t="s">
        <v>511</v>
      </c>
      <c r="AU17" s="1009" t="str">
        <f>IF(OR(AR7="",AR7&lt;=0,BC10=""),"",10.33-AR7-BC10*BM11-0.43-0.5)</f>
        <v/>
      </c>
      <c r="AV17" s="1"/>
      <c r="AW17" s="1"/>
      <c r="DS17" s="160"/>
      <c r="DV17" s="163" t="str">
        <f>IF(DW17&lt;&gt;"",DW17,IF(DX17&lt;&gt;"",DX17,IF(DY17&lt;&gt;"",DY17,IF(DZ17&lt;&gt;"",DZ17,""))))</f>
        <v/>
      </c>
      <c r="DW17" s="164" t="str">
        <f>IF(DT21&lt;&gt;"",DT21,IF(DU21&lt;&gt;"",DU21,IF(DV21&lt;&gt;"",DV21,IF(DW21&lt;&gt;"",DW21,IF(DX21&lt;&gt;"",DX21,IF(DY21&lt;&gt;"",DY21,IF(DZ21&lt;&gt;"",DZ21,"")))))))</f>
        <v/>
      </c>
      <c r="DX17" s="164" t="str">
        <f>IF(EA21&lt;&gt;"",EA21,IF(EB21&lt;&gt;"",EB21,IF(EC21&lt;&gt;"",EC21,IF(ED21&lt;&gt;"",ED21,IF(EE21&lt;&gt;"",EE21,IF(EF21&lt;&gt;"",EF21,IF(EG21&lt;&gt;"",EG21,"")))))))</f>
        <v/>
      </c>
      <c r="DY17" s="164" t="str">
        <f>IF(EH21&lt;&gt;"",EH21,IF(EI21&lt;&gt;"",EI21,IF(EJ21&lt;&gt;"",EJ21,IF(EK21&lt;&gt;"",EK21,IF(EL21&lt;&gt;"",EL21,IF(EM21&lt;&gt;"",EM21,""))))))</f>
        <v/>
      </c>
      <c r="DZ17" s="164" t="str">
        <f>IF(EN21&lt;&gt;"",EN21,IF(EO21&lt;&gt;"",EO21,IF(EP21&lt;&gt;"",EP21,IF(EQ21&lt;&gt;"",EQ21,IF(ER21&lt;&gt;"",ER21,"")))))</f>
        <v/>
      </c>
      <c r="EB17" s="165" t="str">
        <f>IF($DU$14=$FG45,"erro",IF($DU$14=$FG46,"erro",IF($DU$14=$FG47,"erro",IF($DU$14=$FG48,"erro",IF($DU$14=$FG49,"erro","")))))</f>
        <v/>
      </c>
      <c r="ED17" s="166" t="str">
        <f>IF($DU$14=$FG45,$FF45,IF($DU$14=$FG46,$FF46,IF($DU$14=$FG47,$FF47,IF($DU$14=$FG48,$FF48,IF($DU$14=$FG49,$FF49,"")))))</f>
        <v/>
      </c>
      <c r="FB17" s="138" t="s">
        <v>63</v>
      </c>
      <c r="FC17" s="138" t="s">
        <v>64</v>
      </c>
      <c r="FD17" s="134" t="s">
        <v>143</v>
      </c>
    </row>
    <row r="18" spans="1:262" ht="15.75" customHeight="1" thickTop="1" thickBot="1" x14ac:dyDescent="0.35">
      <c r="A18" s="493">
        <v>1</v>
      </c>
      <c r="B18" s="675">
        <f>IF($A$18=2,(1/100),IF($BJ$4=3,(1/9.81),IF($BJ$4=4,(1/98.1),1)))</f>
        <v>1</v>
      </c>
      <c r="C18" s="211"/>
      <c r="D18" s="680"/>
      <c r="E18" s="201"/>
      <c r="F18" s="1424"/>
      <c r="G18" s="494"/>
      <c r="H18" s="1425"/>
      <c r="I18" s="56"/>
      <c r="J18" s="56"/>
      <c r="K18" s="906" t="s">
        <v>857</v>
      </c>
      <c r="L18" s="674"/>
      <c r="M18" s="674"/>
      <c r="N18" s="674"/>
      <c r="O18" s="674"/>
      <c r="P18" s="1099" t="str">
        <f>" Pressões expressas em "&amp;BL4&amp;"."</f>
        <v xml:space="preserve"> Pressões expressas em kPa.</v>
      </c>
      <c r="Q18" s="674"/>
      <c r="R18" s="674"/>
      <c r="S18" s="822"/>
      <c r="W18" s="77"/>
      <c r="AA18" s="137"/>
      <c r="AC18" s="472"/>
      <c r="AD18" s="175"/>
      <c r="AG18" s="1290" t="str">
        <f>IF('Curvas da Instalação'!D38="","Volume do reservatório ("&amp;AX18&amp;" min.) :","Volume do reservatório ("&amp;AX18&amp;" min.) :")</f>
        <v>Volume do reservatório (60 min.) :</v>
      </c>
      <c r="AH18" s="902" t="s">
        <v>945</v>
      </c>
      <c r="AI18" s="3" t="str">
        <f>IF(AU18=0,"? m³",ROUND(AU18,$BH$5)&amp;" "&amp;AT18)</f>
        <v>? m³</v>
      </c>
      <c r="AJ18" s="1511"/>
      <c r="AK18" s="1512"/>
      <c r="AT18" s="922" t="s">
        <v>710</v>
      </c>
      <c r="AU18" s="1011">
        <f>AV18/1000</f>
        <v>0</v>
      </c>
      <c r="AV18" s="1010">
        <f>AX18*AZ18</f>
        <v>0</v>
      </c>
      <c r="AW18" s="925" t="s">
        <v>739</v>
      </c>
      <c r="AX18" s="1012">
        <f>IF(AND(AJ18="",B5=7),30,IF(AND(AJ18="",OR(B5=1,B5=2,B5=3,B5=4,B5=5,B5=15,B5=16,B5=17,B5=18,B5=8,B5=9,B5=10,B5=11,B5=21)),60,IF(AND(AJ18="",OR(B5=6,B5=19,B5=20,B5=12,B5=13,B5=14)),90,AJ18)))</f>
        <v>60</v>
      </c>
      <c r="AY18" s="925" t="s">
        <v>740</v>
      </c>
      <c r="AZ18" s="1009">
        <f>BB18*BK10</f>
        <v>0</v>
      </c>
      <c r="BA18" s="925" t="s">
        <v>741</v>
      </c>
      <c r="BB18" s="1009">
        <f>IF(OR(AW15="",AW15=0),0,IF(AND('Curvas da Instalação'!D38="",'Curvas da Instalação'!D38&lt;=1.05*AU15),AW15*1.4,MAX(AW15*1.4,'Curvas da Instalação'!D38)))</f>
        <v>0</v>
      </c>
      <c r="BC18" s="925" t="str">
        <f>AT15</f>
        <v>l/min</v>
      </c>
      <c r="CJ18" s="781" t="s">
        <v>590</v>
      </c>
      <c r="CK18" s="781"/>
      <c r="CL18" s="781"/>
      <c r="CM18" s="781"/>
      <c r="CN18" s="781"/>
      <c r="CO18" s="781"/>
      <c r="CP18" s="781"/>
      <c r="CQ18" s="781"/>
      <c r="DS18" s="160"/>
      <c r="DT18" s="164" t="str">
        <f t="shared" ref="DT18:ER18" si="1">IF(AND(DT$22=$DS$22,DT$25&lt;&gt;""),DT$25,IF(AND(DT$22=$DS$22,DT$26&lt;&gt;""),DT$26,IF(AND(DT$22=$DS$22,DT$27&lt;&gt;""),DT$27,IF(AND(DT$22=$DS$22,DT$28&lt;&gt;""),DT$28,IF(AND(DT$22=$DS$22,DT$29&lt;&gt;""),DT$29,IF(AND(DT$22=$DS$22,DT$30&lt;&gt;""),DT$30,IF(AND(DT$22=$DS$22,DT$31&lt;&gt;""),DT$31,"")))))))</f>
        <v/>
      </c>
      <c r="DU18" s="164" t="str">
        <f t="shared" si="1"/>
        <v/>
      </c>
      <c r="DV18" s="164" t="str">
        <f t="shared" si="1"/>
        <v/>
      </c>
      <c r="DW18" s="164" t="str">
        <f t="shared" si="1"/>
        <v/>
      </c>
      <c r="DX18" s="164" t="str">
        <f t="shared" si="1"/>
        <v/>
      </c>
      <c r="DY18" s="164" t="str">
        <f t="shared" si="1"/>
        <v/>
      </c>
      <c r="DZ18" s="164" t="str">
        <f t="shared" si="1"/>
        <v/>
      </c>
      <c r="EA18" s="164" t="str">
        <f t="shared" si="1"/>
        <v/>
      </c>
      <c r="EB18" s="164" t="str">
        <f t="shared" si="1"/>
        <v/>
      </c>
      <c r="EC18" s="164" t="str">
        <f t="shared" si="1"/>
        <v/>
      </c>
      <c r="ED18" s="164" t="str">
        <f t="shared" si="1"/>
        <v/>
      </c>
      <c r="EE18" s="164" t="str">
        <f t="shared" si="1"/>
        <v/>
      </c>
      <c r="EF18" s="164" t="str">
        <f t="shared" si="1"/>
        <v/>
      </c>
      <c r="EG18" s="164" t="str">
        <f t="shared" si="1"/>
        <v/>
      </c>
      <c r="EH18" s="164" t="str">
        <f t="shared" si="1"/>
        <v/>
      </c>
      <c r="EI18" s="164" t="str">
        <f t="shared" si="1"/>
        <v/>
      </c>
      <c r="EJ18" s="164" t="str">
        <f t="shared" si="1"/>
        <v/>
      </c>
      <c r="EK18" s="164" t="str">
        <f t="shared" si="1"/>
        <v/>
      </c>
      <c r="EL18" s="164" t="str">
        <f t="shared" si="1"/>
        <v/>
      </c>
      <c r="EM18" s="164" t="str">
        <f t="shared" si="1"/>
        <v/>
      </c>
      <c r="EN18" s="164" t="str">
        <f t="shared" si="1"/>
        <v/>
      </c>
      <c r="EO18" s="164" t="str">
        <f t="shared" si="1"/>
        <v/>
      </c>
      <c r="EP18" s="164" t="str">
        <f t="shared" si="1"/>
        <v/>
      </c>
      <c r="EQ18" s="164" t="str">
        <f t="shared" si="1"/>
        <v/>
      </c>
      <c r="ER18" s="164" t="str">
        <f t="shared" si="1"/>
        <v/>
      </c>
      <c r="FB18" s="106"/>
      <c r="FC18" s="106"/>
      <c r="FD18" s="667"/>
    </row>
    <row r="19" spans="1:262" s="7" customFormat="1" ht="24" customHeight="1" thickTop="1" thickBot="1" x14ac:dyDescent="0.35">
      <c r="B19" s="193"/>
      <c r="C19" s="53"/>
      <c r="D19" s="265"/>
      <c r="E19" s="285">
        <v>1</v>
      </c>
      <c r="F19" s="1528">
        <v>2</v>
      </c>
      <c r="G19" s="1564"/>
      <c r="H19" s="285">
        <v>3</v>
      </c>
      <c r="I19" s="285">
        <v>4</v>
      </c>
      <c r="J19" s="285">
        <v>5</v>
      </c>
      <c r="K19" s="285">
        <v>6</v>
      </c>
      <c r="L19" s="285">
        <v>7</v>
      </c>
      <c r="M19" s="285">
        <v>8</v>
      </c>
      <c r="N19" s="757" t="s">
        <v>557</v>
      </c>
      <c r="O19" s="1457"/>
      <c r="P19" s="285">
        <v>9</v>
      </c>
      <c r="Q19" s="285">
        <v>10</v>
      </c>
      <c r="R19" s="285">
        <v>11</v>
      </c>
      <c r="S19" s="285">
        <v>12</v>
      </c>
      <c r="T19" s="286"/>
      <c r="U19" s="286">
        <v>13</v>
      </c>
      <c r="V19" s="286"/>
      <c r="W19" s="286">
        <v>14</v>
      </c>
      <c r="X19" s="286"/>
      <c r="Y19" s="286"/>
      <c r="Z19" s="286">
        <v>15</v>
      </c>
      <c r="AA19" s="1528">
        <v>16</v>
      </c>
      <c r="AB19" s="1558"/>
      <c r="AC19" s="286">
        <v>17</v>
      </c>
      <c r="AD19" s="286">
        <v>18</v>
      </c>
      <c r="AE19" s="286">
        <v>19</v>
      </c>
      <c r="AF19" s="286">
        <v>20</v>
      </c>
      <c r="AG19" s="286">
        <v>21</v>
      </c>
      <c r="AH19" s="286">
        <v>22</v>
      </c>
      <c r="AI19" s="286">
        <v>23</v>
      </c>
      <c r="AJ19" s="1528">
        <v>24</v>
      </c>
      <c r="AK19" s="1529"/>
      <c r="AL19" s="1529"/>
      <c r="AM19" s="1529"/>
      <c r="AN19" s="286">
        <v>25</v>
      </c>
      <c r="AO19" s="1528">
        <v>26</v>
      </c>
      <c r="AP19" s="1529"/>
      <c r="AQ19" s="1529"/>
      <c r="AR19" s="286">
        <v>27</v>
      </c>
      <c r="AS19" s="2"/>
      <c r="AT19" s="792"/>
      <c r="AU19" s="666">
        <v>9.81</v>
      </c>
      <c r="AV19" s="154" t="s">
        <v>206</v>
      </c>
      <c r="AW19" s="158"/>
      <c r="AX19" s="159"/>
      <c r="AY19" s="159"/>
      <c r="AZ19" s="159"/>
      <c r="BA19" s="159"/>
      <c r="BB19" s="1"/>
      <c r="BC19" s="1"/>
      <c r="BD19" s="1"/>
      <c r="BE19" s="1"/>
      <c r="BF19" s="1"/>
      <c r="BG19" s="1"/>
      <c r="CL19" s="287" t="s">
        <v>585</v>
      </c>
      <c r="CO19" s="287" t="s">
        <v>586</v>
      </c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67"/>
      <c r="DT19" s="164" t="str">
        <f t="shared" ref="DT19:ER19" si="2">IF(AND(DT$22=$DS$22,DT$32&lt;&gt;""),DT$32,IF(AND(DT$22=$DS$22,DT$33&lt;&gt;""),DT$33,IF(AND(DT$22=$DS$22,DT$34&lt;&gt;""),DT$34,IF(AND(DT$22=$DS$22,DT$35&lt;&gt;""),DT$35,IF(AND(DT$22=$DS$22,DT$36&lt;&gt;""),DT$36,IF(AND(DT$22=$DS$22,DT$37&lt;&gt;""),DT$37,IF(AND(DT$22=$DS$22,DT$38&lt;&gt;""),DT$38,"")))))))</f>
        <v/>
      </c>
      <c r="DU19" s="164" t="str">
        <f t="shared" si="2"/>
        <v/>
      </c>
      <c r="DV19" s="164" t="str">
        <f t="shared" si="2"/>
        <v/>
      </c>
      <c r="DW19" s="164" t="str">
        <f t="shared" si="2"/>
        <v/>
      </c>
      <c r="DX19" s="164" t="str">
        <f t="shared" si="2"/>
        <v/>
      </c>
      <c r="DY19" s="164" t="str">
        <f t="shared" si="2"/>
        <v/>
      </c>
      <c r="DZ19" s="164" t="str">
        <f t="shared" si="2"/>
        <v/>
      </c>
      <c r="EA19" s="164" t="str">
        <f t="shared" si="2"/>
        <v/>
      </c>
      <c r="EB19" s="164" t="str">
        <f t="shared" si="2"/>
        <v/>
      </c>
      <c r="EC19" s="164" t="str">
        <f t="shared" si="2"/>
        <v/>
      </c>
      <c r="ED19" s="164" t="str">
        <f t="shared" si="2"/>
        <v/>
      </c>
      <c r="EE19" s="164" t="str">
        <f t="shared" si="2"/>
        <v/>
      </c>
      <c r="EF19" s="164" t="str">
        <f t="shared" si="2"/>
        <v/>
      </c>
      <c r="EG19" s="164" t="str">
        <f t="shared" si="2"/>
        <v/>
      </c>
      <c r="EH19" s="164" t="str">
        <f t="shared" si="2"/>
        <v/>
      </c>
      <c r="EI19" s="164" t="str">
        <f t="shared" si="2"/>
        <v/>
      </c>
      <c r="EJ19" s="164" t="str">
        <f t="shared" si="2"/>
        <v/>
      </c>
      <c r="EK19" s="164" t="str">
        <f t="shared" si="2"/>
        <v/>
      </c>
      <c r="EL19" s="164" t="str">
        <f t="shared" si="2"/>
        <v/>
      </c>
      <c r="EM19" s="164" t="str">
        <f t="shared" si="2"/>
        <v/>
      </c>
      <c r="EN19" s="164" t="str">
        <f t="shared" si="2"/>
        <v/>
      </c>
      <c r="EO19" s="164" t="str">
        <f t="shared" si="2"/>
        <v/>
      </c>
      <c r="EP19" s="164" t="str">
        <f t="shared" si="2"/>
        <v/>
      </c>
      <c r="EQ19" s="164" t="str">
        <f t="shared" si="2"/>
        <v/>
      </c>
      <c r="ER19" s="164" t="str">
        <f t="shared" si="2"/>
        <v/>
      </c>
      <c r="EU19" s="1"/>
      <c r="EV19" s="494"/>
      <c r="EW19" s="1"/>
      <c r="EX19" s="1"/>
      <c r="EY19" s="1"/>
      <c r="FB19" s="114" t="s">
        <v>40</v>
      </c>
      <c r="FC19" s="114" t="s">
        <v>40</v>
      </c>
      <c r="FD19" s="109" t="s">
        <v>79</v>
      </c>
      <c r="FK19" s="223"/>
    </row>
    <row r="20" spans="1:262" s="9" customFormat="1" ht="18" customHeight="1" thickTop="1" thickBot="1" x14ac:dyDescent="0.35">
      <c r="B20" s="194"/>
      <c r="C20" s="54"/>
      <c r="D20" s="1306"/>
      <c r="E20" s="1307"/>
      <c r="F20" s="1530" t="s">
        <v>72</v>
      </c>
      <c r="G20" s="1530"/>
      <c r="H20" s="1307" t="s">
        <v>61</v>
      </c>
      <c r="I20" s="1307" t="s">
        <v>97</v>
      </c>
      <c r="J20" s="1307" t="s">
        <v>62</v>
      </c>
      <c r="K20" s="1307" t="s">
        <v>46</v>
      </c>
      <c r="L20" s="1306" t="s">
        <v>287</v>
      </c>
      <c r="M20" s="1307" t="s">
        <v>299</v>
      </c>
      <c r="N20" s="1308" t="s">
        <v>558</v>
      </c>
      <c r="O20" s="1309"/>
      <c r="P20" s="1306" t="s">
        <v>65</v>
      </c>
      <c r="Q20" s="1307" t="s">
        <v>66</v>
      </c>
      <c r="R20" s="1307" t="s">
        <v>295</v>
      </c>
      <c r="S20" s="1307" t="s">
        <v>300</v>
      </c>
      <c r="T20" s="1310"/>
      <c r="U20" s="1306" t="s">
        <v>80</v>
      </c>
      <c r="V20" s="1311"/>
      <c r="W20" s="1306" t="s">
        <v>296</v>
      </c>
      <c r="X20" s="1307"/>
      <c r="Y20" s="1307"/>
      <c r="Z20" s="1312" t="s">
        <v>288</v>
      </c>
      <c r="AA20" s="1306"/>
      <c r="AB20" s="1306" t="s">
        <v>301</v>
      </c>
      <c r="AC20" s="1307" t="s">
        <v>67</v>
      </c>
      <c r="AD20" s="1307" t="s">
        <v>68</v>
      </c>
      <c r="AE20" s="1307" t="s">
        <v>297</v>
      </c>
      <c r="AF20" s="1307" t="s">
        <v>298</v>
      </c>
      <c r="AG20" s="1307" t="s">
        <v>302</v>
      </c>
      <c r="AH20" s="1307" t="s">
        <v>885</v>
      </c>
      <c r="AI20" s="1307" t="s">
        <v>69</v>
      </c>
      <c r="AJ20" s="1532" t="s">
        <v>70</v>
      </c>
      <c r="AK20" s="1532"/>
      <c r="AL20" s="1532"/>
      <c r="AM20" s="1533"/>
      <c r="AN20" s="1307" t="s">
        <v>71</v>
      </c>
      <c r="AO20" s="1530" t="s">
        <v>82</v>
      </c>
      <c r="AP20" s="1530"/>
      <c r="AQ20" s="1531"/>
      <c r="AR20" s="1313"/>
      <c r="AS20" s="8"/>
      <c r="AT20" s="1"/>
      <c r="AU20" s="913" t="s">
        <v>690</v>
      </c>
      <c r="AV20" s="155"/>
      <c r="AW20" s="1331"/>
      <c r="BF20" s="1330"/>
      <c r="BG20" s="1330"/>
      <c r="BH20" s="1330"/>
      <c r="CL20" s="287" t="s">
        <v>577</v>
      </c>
      <c r="CO20" s="287" t="s">
        <v>577</v>
      </c>
      <c r="CP20" s="287" t="s">
        <v>576</v>
      </c>
      <c r="CQ20" s="1"/>
      <c r="CR20" s="1"/>
      <c r="CS20" s="781" t="s">
        <v>579</v>
      </c>
      <c r="CT20" s="781"/>
      <c r="CU20" s="781"/>
      <c r="CV20" s="781"/>
      <c r="CW20" s="781"/>
      <c r="CX20" s="781"/>
      <c r="CY20" s="78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68"/>
      <c r="DT20" s="164" t="str">
        <f t="shared" ref="DT20:ER20" si="3">IF(AND(DT$22=$DS$22,DT$39&lt;&gt;""),DT$39,IF(AND(DT$22=$DS$22,DT$40&lt;&gt;""),DT$40,IF(AND(DT$22=$DS$22,DT$41&lt;&gt;""),DT$41,IF(AND(DT$22=$DS$22,DT$42&lt;&gt;""),DT$42,IF(AND(DT$22=$DS$22,DT$43&lt;&gt;""),DT$43,IF(AND(DT$22=$DS$22,DT$44&lt;&gt;""),DT$44,""))))))</f>
        <v/>
      </c>
      <c r="DU20" s="164" t="str">
        <f t="shared" si="3"/>
        <v/>
      </c>
      <c r="DV20" s="164" t="str">
        <f t="shared" si="3"/>
        <v/>
      </c>
      <c r="DW20" s="164" t="str">
        <f t="shared" si="3"/>
        <v/>
      </c>
      <c r="DX20" s="164" t="str">
        <f t="shared" si="3"/>
        <v/>
      </c>
      <c r="DY20" s="164" t="str">
        <f t="shared" si="3"/>
        <v/>
      </c>
      <c r="DZ20" s="164" t="str">
        <f t="shared" si="3"/>
        <v/>
      </c>
      <c r="EA20" s="164" t="str">
        <f t="shared" si="3"/>
        <v/>
      </c>
      <c r="EB20" s="164" t="str">
        <f t="shared" si="3"/>
        <v/>
      </c>
      <c r="EC20" s="164" t="str">
        <f t="shared" si="3"/>
        <v/>
      </c>
      <c r="ED20" s="164" t="str">
        <f t="shared" si="3"/>
        <v/>
      </c>
      <c r="EE20" s="164" t="str">
        <f t="shared" si="3"/>
        <v/>
      </c>
      <c r="EF20" s="164" t="str">
        <f t="shared" si="3"/>
        <v/>
      </c>
      <c r="EG20" s="164" t="str">
        <f t="shared" si="3"/>
        <v/>
      </c>
      <c r="EH20" s="164" t="str">
        <f t="shared" si="3"/>
        <v/>
      </c>
      <c r="EI20" s="164" t="str">
        <f t="shared" si="3"/>
        <v/>
      </c>
      <c r="EJ20" s="164" t="str">
        <f t="shared" si="3"/>
        <v/>
      </c>
      <c r="EK20" s="164" t="str">
        <f t="shared" si="3"/>
        <v/>
      </c>
      <c r="EL20" s="164" t="str">
        <f t="shared" si="3"/>
        <v/>
      </c>
      <c r="EM20" s="164" t="str">
        <f t="shared" si="3"/>
        <v/>
      </c>
      <c r="EN20" s="164" t="str">
        <f t="shared" si="3"/>
        <v/>
      </c>
      <c r="EO20" s="164" t="str">
        <f t="shared" si="3"/>
        <v/>
      </c>
      <c r="EP20" s="164" t="str">
        <f t="shared" si="3"/>
        <v/>
      </c>
      <c r="EQ20" s="164" t="str">
        <f t="shared" si="3"/>
        <v/>
      </c>
      <c r="ER20" s="164" t="str">
        <f t="shared" si="3"/>
        <v/>
      </c>
      <c r="EU20" s="1"/>
      <c r="EV20" s="494"/>
      <c r="EW20" s="699"/>
      <c r="EX20" s="1"/>
      <c r="EY20" s="1"/>
      <c r="FB20" s="267" t="str">
        <f>IF(OR($FE$24="",$FE$24=0),"",$FE$24)</f>
        <v/>
      </c>
      <c r="FC20" s="267" t="str">
        <f>IF(FB20="","",FB20*(1+$M$14))</f>
        <v/>
      </c>
      <c r="FD20" s="269" t="str">
        <f>IF(OR($AU$9="",$FC$20="",$DT$14="",$DT$14=0,$AV$24&gt;=3),"",IF(((($P$12+200*$B$18)-$AU$9)/($AU$19*$B$18))/$FC$20&lt;=0,((($P$12)/($AU$19*$B$18))/$FC$20),((($P$12+200*$B$18)-$AU$9)/($AU$19*$B$18))/$FC$20))</f>
        <v/>
      </c>
    </row>
    <row r="21" spans="1:262" s="3" customFormat="1" ht="15" thickTop="1" thickBot="1" x14ac:dyDescent="0.4">
      <c r="D21" s="191"/>
      <c r="E21" s="1518" t="s">
        <v>60</v>
      </c>
      <c r="F21" s="1559"/>
      <c r="G21" s="1560"/>
      <c r="H21" s="1518" t="s">
        <v>280</v>
      </c>
      <c r="I21" s="1524"/>
      <c r="J21" s="1518" t="str">
        <f>IF(CQ50&gt;=1," Erro: L não pode ser inferior a h","Comprimentos dos troços")</f>
        <v>Comprimentos dos troços</v>
      </c>
      <c r="K21" s="1523"/>
      <c r="L21" s="1523"/>
      <c r="M21" s="1524"/>
      <c r="N21" s="1427">
        <f>IF($P$7="","",IF($N$22=0,1,$N$22))</f>
        <v>1</v>
      </c>
      <c r="O21" s="1428" t="s">
        <v>621</v>
      </c>
      <c r="P21" s="1429" t="s">
        <v>519</v>
      </c>
      <c r="Q21" s="1518" t="s">
        <v>209</v>
      </c>
      <c r="R21" s="1524"/>
      <c r="S21" s="1430" t="s">
        <v>54</v>
      </c>
      <c r="T21" s="1431"/>
      <c r="U21" s="1518" t="s">
        <v>526</v>
      </c>
      <c r="V21" s="1553"/>
      <c r="W21" s="1553"/>
      <c r="X21" s="1553"/>
      <c r="Y21" s="1553"/>
      <c r="Z21" s="1554"/>
      <c r="AA21" s="1523" t="s">
        <v>148</v>
      </c>
      <c r="AB21" s="1524"/>
      <c r="AC21" s="1518" t="s">
        <v>881</v>
      </c>
      <c r="AD21" s="1519"/>
      <c r="AE21" s="1518" t="s">
        <v>897</v>
      </c>
      <c r="AF21" s="1519"/>
      <c r="AG21" s="1519"/>
      <c r="AH21" s="1519"/>
      <c r="AI21" s="1519"/>
      <c r="AJ21" s="1519"/>
      <c r="AK21" s="1519"/>
      <c r="AL21" s="1519"/>
      <c r="AM21" s="1520"/>
      <c r="AN21" s="1518" t="s">
        <v>898</v>
      </c>
      <c r="AO21" s="1523"/>
      <c r="AP21" s="1523"/>
      <c r="AQ21" s="1524"/>
      <c r="AR21" s="1432" t="s">
        <v>531</v>
      </c>
      <c r="AT21" s="1"/>
      <c r="AV21" s="155"/>
      <c r="AW21" s="4"/>
      <c r="BC21" s="154" t="s">
        <v>602</v>
      </c>
      <c r="BD21" s="158"/>
      <c r="BE21" s="9"/>
      <c r="BF21" s="85" t="s">
        <v>84</v>
      </c>
      <c r="BG21" s="80"/>
      <c r="BH21" s="81"/>
      <c r="CL21" s="287" t="s">
        <v>587</v>
      </c>
      <c r="CO21" s="287" t="s">
        <v>581</v>
      </c>
      <c r="CP21" s="287" t="s">
        <v>577</v>
      </c>
      <c r="CQ21" s="1"/>
      <c r="CR21" s="1"/>
      <c r="CS21" s="781" t="s">
        <v>580</v>
      </c>
      <c r="CT21" s="781"/>
      <c r="CU21" s="781"/>
      <c r="CV21" s="781"/>
      <c r="CW21" s="781"/>
      <c r="CX21" s="781"/>
      <c r="CY21" s="781"/>
      <c r="CZ21" s="796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69"/>
      <c r="DT21" s="164" t="str">
        <f t="shared" ref="DT21:ER21" si="4">IF(AND(DT$22=$DS$22,DT$45&lt;&gt;""),DT$45,IF(AND(DT$22=$DS$22,DT$46&lt;&gt;""),DT$46,IF(AND(DT$22=$DS$22,DT$47&lt;&gt;""),DT$47,IF(AND(DT$22=$DS$22,DT$48&lt;&gt;""),DT$48,IF(AND(DT$22=$DS$22,DT$49&lt;&gt;""),DT$49,"")))))</f>
        <v/>
      </c>
      <c r="DU21" s="164" t="str">
        <f t="shared" si="4"/>
        <v/>
      </c>
      <c r="DV21" s="164" t="str">
        <f t="shared" si="4"/>
        <v/>
      </c>
      <c r="DW21" s="164" t="str">
        <f t="shared" si="4"/>
        <v/>
      </c>
      <c r="DX21" s="164" t="str">
        <f t="shared" si="4"/>
        <v/>
      </c>
      <c r="DY21" s="164" t="str">
        <f t="shared" si="4"/>
        <v/>
      </c>
      <c r="DZ21" s="164" t="str">
        <f t="shared" si="4"/>
        <v/>
      </c>
      <c r="EA21" s="164" t="str">
        <f t="shared" si="4"/>
        <v/>
      </c>
      <c r="EB21" s="164" t="str">
        <f t="shared" si="4"/>
        <v/>
      </c>
      <c r="EC21" s="164" t="str">
        <f t="shared" si="4"/>
        <v/>
      </c>
      <c r="ED21" s="164" t="str">
        <f t="shared" si="4"/>
        <v/>
      </c>
      <c r="EE21" s="164" t="str">
        <f t="shared" si="4"/>
        <v/>
      </c>
      <c r="EF21" s="164" t="str">
        <f t="shared" si="4"/>
        <v/>
      </c>
      <c r="EG21" s="164" t="str">
        <f t="shared" si="4"/>
        <v/>
      </c>
      <c r="EH21" s="164" t="str">
        <f t="shared" si="4"/>
        <v/>
      </c>
      <c r="EI21" s="164" t="str">
        <f t="shared" si="4"/>
        <v/>
      </c>
      <c r="EJ21" s="164" t="str">
        <f t="shared" si="4"/>
        <v/>
      </c>
      <c r="EK21" s="164" t="str">
        <f t="shared" si="4"/>
        <v/>
      </c>
      <c r="EL21" s="164" t="str">
        <f t="shared" si="4"/>
        <v/>
      </c>
      <c r="EM21" s="164" t="str">
        <f t="shared" si="4"/>
        <v/>
      </c>
      <c r="EN21" s="164" t="str">
        <f t="shared" si="4"/>
        <v/>
      </c>
      <c r="EO21" s="164" t="str">
        <f t="shared" si="4"/>
        <v/>
      </c>
      <c r="EP21" s="164" t="str">
        <f t="shared" si="4"/>
        <v/>
      </c>
      <c r="EQ21" s="164" t="str">
        <f t="shared" si="4"/>
        <v/>
      </c>
      <c r="ER21" s="164" t="str">
        <f t="shared" si="4"/>
        <v/>
      </c>
      <c r="EU21" s="1"/>
      <c r="EV21" s="745" t="s">
        <v>567</v>
      </c>
      <c r="EW21" s="1"/>
      <c r="EX21" s="1"/>
      <c r="EY21" s="1"/>
      <c r="FC21" s="89"/>
      <c r="FE21" s="84"/>
    </row>
    <row r="22" spans="1:262" s="3" customFormat="1" ht="15" customHeight="1" thickTop="1" thickBot="1" x14ac:dyDescent="0.35">
      <c r="D22" s="191"/>
      <c r="E22" s="1561" t="s">
        <v>512</v>
      </c>
      <c r="F22" s="1562"/>
      <c r="G22" s="1563"/>
      <c r="H22" s="1433" t="s">
        <v>513</v>
      </c>
      <c r="I22" s="1433" t="s">
        <v>514</v>
      </c>
      <c r="J22" s="1434" t="s">
        <v>515</v>
      </c>
      <c r="K22" s="1435" t="s">
        <v>516</v>
      </c>
      <c r="L22" s="1436" t="s">
        <v>901</v>
      </c>
      <c r="M22" s="1437" t="s">
        <v>900</v>
      </c>
      <c r="N22" s="1438">
        <f>MIN(H25:H49)</f>
        <v>0</v>
      </c>
      <c r="O22" s="1439" t="s">
        <v>622</v>
      </c>
      <c r="P22" s="1440" t="s">
        <v>520</v>
      </c>
      <c r="Q22" s="1433" t="s">
        <v>644</v>
      </c>
      <c r="R22" s="1433" t="s">
        <v>521</v>
      </c>
      <c r="S22" s="1441" t="s">
        <v>522</v>
      </c>
      <c r="T22" s="1442" t="s">
        <v>50</v>
      </c>
      <c r="U22" s="1443" t="s">
        <v>523</v>
      </c>
      <c r="V22" s="1444"/>
      <c r="W22" s="1445" t="s">
        <v>524</v>
      </c>
      <c r="X22" s="1446"/>
      <c r="Y22" s="1447"/>
      <c r="Z22" s="1435" t="s">
        <v>525</v>
      </c>
      <c r="AA22" s="1557" t="s">
        <v>848</v>
      </c>
      <c r="AB22" s="1527"/>
      <c r="AC22" s="1434" t="s">
        <v>527</v>
      </c>
      <c r="AD22" s="1435" t="s">
        <v>528</v>
      </c>
      <c r="AE22" s="1434" t="s">
        <v>81</v>
      </c>
      <c r="AF22" s="1448" t="s">
        <v>529</v>
      </c>
      <c r="AG22" s="1449" t="s">
        <v>884</v>
      </c>
      <c r="AH22" s="1450" t="s">
        <v>514</v>
      </c>
      <c r="AI22" s="1454" t="s">
        <v>869</v>
      </c>
      <c r="AJ22" s="1525" t="s">
        <v>49</v>
      </c>
      <c r="AK22" s="1526"/>
      <c r="AL22" s="1526"/>
      <c r="AM22" s="1527"/>
      <c r="AN22" s="1443" t="s">
        <v>47</v>
      </c>
      <c r="AO22" s="1525" t="s">
        <v>49</v>
      </c>
      <c r="AP22" s="1526"/>
      <c r="AQ22" s="1527"/>
      <c r="AR22" s="1441"/>
      <c r="AT22" s="1"/>
      <c r="AV22" s="155"/>
      <c r="AW22" s="4"/>
      <c r="AX22" s="463"/>
      <c r="AZ22" s="1337" t="s">
        <v>620</v>
      </c>
      <c r="BA22" s="1337"/>
      <c r="BB22" s="1333" t="s">
        <v>43</v>
      </c>
      <c r="BC22" s="155" t="s">
        <v>603</v>
      </c>
      <c r="BD22" s="8"/>
      <c r="BE22" s="1385" t="s">
        <v>528</v>
      </c>
      <c r="BF22" s="10" t="s">
        <v>43</v>
      </c>
      <c r="BG22" s="12" t="s">
        <v>44</v>
      </c>
      <c r="BH22" s="5" t="s">
        <v>48</v>
      </c>
      <c r="CL22" s="287" t="s">
        <v>588</v>
      </c>
      <c r="CP22" s="287" t="s">
        <v>578</v>
      </c>
      <c r="CQ22" s="763" t="s">
        <v>573</v>
      </c>
      <c r="CR22" s="1"/>
      <c r="CS22" s="1"/>
      <c r="CT22" s="255"/>
      <c r="CU22" s="777" t="s">
        <v>273</v>
      </c>
      <c r="CV22" s="777"/>
      <c r="CW22" s="255"/>
      <c r="CX22" s="662" t="s">
        <v>273</v>
      </c>
      <c r="CY22" s="777"/>
      <c r="CZ22" s="796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70">
        <f>MIN(DT22:ER22)</f>
        <v>0</v>
      </c>
      <c r="DT22" s="171" t="str">
        <f>IF(25-COUNTBLANK(DT25:DT49)=0,"",25-COUNTBLANK(DT25:DT49))</f>
        <v/>
      </c>
      <c r="DU22" s="171" t="str">
        <f>IF(25-COUNTBLANK(DU25:DU49)=0,"",25-COUNTBLANK(DU25:DU49))</f>
        <v/>
      </c>
      <c r="DV22" s="171" t="str">
        <f t="shared" ref="DV22:ER22" si="5">IF(25-COUNTBLANK(DV25:DV49)=0,"",25-COUNTBLANK(DV25:DV49))</f>
        <v/>
      </c>
      <c r="DW22" s="171" t="str">
        <f t="shared" si="5"/>
        <v/>
      </c>
      <c r="DX22" s="171" t="str">
        <f t="shared" si="5"/>
        <v/>
      </c>
      <c r="DY22" s="171" t="str">
        <f t="shared" si="5"/>
        <v/>
      </c>
      <c r="DZ22" s="171" t="str">
        <f t="shared" si="5"/>
        <v/>
      </c>
      <c r="EA22" s="171" t="str">
        <f t="shared" si="5"/>
        <v/>
      </c>
      <c r="EB22" s="171" t="str">
        <f t="shared" si="5"/>
        <v/>
      </c>
      <c r="EC22" s="171" t="str">
        <f t="shared" si="5"/>
        <v/>
      </c>
      <c r="ED22" s="171" t="str">
        <f t="shared" si="5"/>
        <v/>
      </c>
      <c r="EE22" s="171" t="str">
        <f t="shared" si="5"/>
        <v/>
      </c>
      <c r="EF22" s="171" t="str">
        <f t="shared" si="5"/>
        <v/>
      </c>
      <c r="EG22" s="171" t="str">
        <f t="shared" si="5"/>
        <v/>
      </c>
      <c r="EH22" s="171" t="str">
        <f t="shared" si="5"/>
        <v/>
      </c>
      <c r="EI22" s="171" t="str">
        <f t="shared" si="5"/>
        <v/>
      </c>
      <c r="EJ22" s="171" t="str">
        <f t="shared" si="5"/>
        <v/>
      </c>
      <c r="EK22" s="171" t="str">
        <f t="shared" si="5"/>
        <v/>
      </c>
      <c r="EL22" s="171" t="str">
        <f t="shared" si="5"/>
        <v/>
      </c>
      <c r="EM22" s="171" t="str">
        <f t="shared" si="5"/>
        <v/>
      </c>
      <c r="EN22" s="171" t="str">
        <f t="shared" si="5"/>
        <v/>
      </c>
      <c r="EO22" s="171" t="str">
        <f t="shared" si="5"/>
        <v/>
      </c>
      <c r="EP22" s="171" t="str">
        <f t="shared" si="5"/>
        <v/>
      </c>
      <c r="EQ22" s="171" t="str">
        <f t="shared" si="5"/>
        <v/>
      </c>
      <c r="ER22" s="171" t="str">
        <f t="shared" si="5"/>
        <v/>
      </c>
      <c r="EU22" s="1"/>
      <c r="EV22" s="745" t="s">
        <v>568</v>
      </c>
      <c r="EW22" s="763" t="s">
        <v>569</v>
      </c>
      <c r="EX22" s="747" t="s">
        <v>553</v>
      </c>
      <c r="EY22" s="116"/>
      <c r="FC22" s="116" t="s">
        <v>122</v>
      </c>
      <c r="FD22" s="116"/>
      <c r="FE22" s="116"/>
      <c r="FF22" s="116"/>
      <c r="FG22" s="450">
        <v>1</v>
      </c>
      <c r="FH22" s="710">
        <v>5</v>
      </c>
      <c r="FI22" s="450">
        <f>FG22+1</f>
        <v>2</v>
      </c>
      <c r="FL22" s="450">
        <f>FI22+1</f>
        <v>3</v>
      </c>
      <c r="FP22" s="450">
        <f>FL22+1</f>
        <v>4</v>
      </c>
      <c r="FT22" s="450">
        <f>FP22+1</f>
        <v>5</v>
      </c>
      <c r="FX22" s="450">
        <f>FT22+1</f>
        <v>6</v>
      </c>
      <c r="GB22" s="450">
        <f>FX22+1</f>
        <v>7</v>
      </c>
      <c r="GF22" s="450">
        <f>GB22+1</f>
        <v>8</v>
      </c>
      <c r="GJ22" s="450">
        <f>GF22+1</f>
        <v>9</v>
      </c>
      <c r="GN22" s="450">
        <f>GJ22+1</f>
        <v>10</v>
      </c>
      <c r="GR22" s="450">
        <f>GN22+1</f>
        <v>11</v>
      </c>
      <c r="GV22" s="450">
        <f>GR22+1</f>
        <v>12</v>
      </c>
      <c r="GZ22" s="450">
        <f>GV22+1</f>
        <v>13</v>
      </c>
      <c r="HD22" s="450">
        <f>GZ22+1</f>
        <v>14</v>
      </c>
      <c r="HH22" s="450">
        <f>HD22+1</f>
        <v>15</v>
      </c>
      <c r="HL22" s="450">
        <f>HH22+1</f>
        <v>16</v>
      </c>
      <c r="HP22" s="450">
        <f>HL22+1</f>
        <v>17</v>
      </c>
      <c r="HT22" s="450">
        <f>HP22+1</f>
        <v>18</v>
      </c>
      <c r="HX22" s="450">
        <f>HT22+1</f>
        <v>19</v>
      </c>
      <c r="IB22" s="450">
        <f>HX22+1</f>
        <v>20</v>
      </c>
      <c r="IF22" s="450">
        <f>IB22+1</f>
        <v>21</v>
      </c>
      <c r="IJ22" s="450">
        <f>IF22+1</f>
        <v>22</v>
      </c>
      <c r="IN22" s="450">
        <f>IJ22+1</f>
        <v>23</v>
      </c>
      <c r="IR22" s="450">
        <f>IN22+1</f>
        <v>24</v>
      </c>
      <c r="IV22" s="450">
        <f>IR22+1</f>
        <v>25</v>
      </c>
    </row>
    <row r="23" spans="1:262" ht="20.25" customHeight="1" thickTop="1" thickBot="1" x14ac:dyDescent="0.55000000000000004">
      <c r="B23" s="2" t="s">
        <v>74</v>
      </c>
      <c r="D23" s="191"/>
      <c r="E23" s="501" t="s">
        <v>119</v>
      </c>
      <c r="F23" s="1078" t="s">
        <v>53</v>
      </c>
      <c r="G23" s="1078" t="s">
        <v>52</v>
      </c>
      <c r="H23" s="1399" t="s">
        <v>902</v>
      </c>
      <c r="I23" s="1399" t="s">
        <v>912</v>
      </c>
      <c r="J23" s="1053" t="s">
        <v>913</v>
      </c>
      <c r="K23" s="1386" t="s">
        <v>914</v>
      </c>
      <c r="L23" s="1053" t="s">
        <v>915</v>
      </c>
      <c r="M23" s="1401" t="s">
        <v>916</v>
      </c>
      <c r="N23" s="504">
        <f>SUMIF($A$25:$A$49,"ss1",$Q$25:$Q$49)</f>
        <v>0</v>
      </c>
      <c r="O23" s="506" t="s">
        <v>615</v>
      </c>
      <c r="P23" s="1453" t="s">
        <v>917</v>
      </c>
      <c r="Q23" s="1408" t="s">
        <v>918</v>
      </c>
      <c r="R23" s="1409" t="s">
        <v>919</v>
      </c>
      <c r="S23" s="1452" t="s">
        <v>339</v>
      </c>
      <c r="T23" s="181" t="s">
        <v>333</v>
      </c>
      <c r="U23" s="1400" t="s">
        <v>936</v>
      </c>
      <c r="V23" s="173" t="s">
        <v>133</v>
      </c>
      <c r="W23" s="1065" t="s">
        <v>911</v>
      </c>
      <c r="X23" s="131" t="s">
        <v>132</v>
      </c>
      <c r="Y23" s="132" t="s">
        <v>132</v>
      </c>
      <c r="Z23" s="1407" t="s">
        <v>24</v>
      </c>
      <c r="AA23" s="1555" t="s">
        <v>214</v>
      </c>
      <c r="AB23" s="1556"/>
      <c r="AC23" s="1053" t="s">
        <v>907</v>
      </c>
      <c r="AD23" s="1386" t="s">
        <v>908</v>
      </c>
      <c r="AE23" s="1413" t="s">
        <v>42</v>
      </c>
      <c r="AF23" s="1404" t="s">
        <v>943</v>
      </c>
      <c r="AG23" s="1405" t="s">
        <v>909</v>
      </c>
      <c r="AH23" s="1406" t="s">
        <v>910</v>
      </c>
      <c r="AI23" s="1422" t="s">
        <v>953</v>
      </c>
      <c r="AJ23" s="1521" t="s">
        <v>937</v>
      </c>
      <c r="AK23" s="1522"/>
      <c r="AL23" s="1522"/>
      <c r="AM23" s="1501">
        <f>P12</f>
        <v>50</v>
      </c>
      <c r="AN23" s="1414" t="s">
        <v>59</v>
      </c>
      <c r="AO23" s="1412"/>
      <c r="AP23" s="1420" t="str">
        <f>""&amp;AV23&amp;" ≤ V ≤"</f>
        <v>0,5 ≤ V ≤</v>
      </c>
      <c r="AQ23" s="1419">
        <f>ROUND(AX23,1)</f>
        <v>6</v>
      </c>
      <c r="AR23" s="1410" t="s">
        <v>307</v>
      </c>
      <c r="AS23" s="3"/>
      <c r="AT23" s="1255" t="s">
        <v>847</v>
      </c>
      <c r="AV23" s="903">
        <f>IF(U13&lt;&gt;"",U13,0.5)</f>
        <v>0.5</v>
      </c>
      <c r="AW23" s="905" t="s">
        <v>330</v>
      </c>
      <c r="AX23" s="904">
        <f>ROUND(P13,1)</f>
        <v>6</v>
      </c>
      <c r="AY23" s="1342" t="s">
        <v>874</v>
      </c>
      <c r="BA23" s="830" t="str">
        <f>IF(BA24=0,"",MATCH(BA24,BA25:BA49,0))</f>
        <v/>
      </c>
      <c r="BB23" s="1334" t="s">
        <v>872</v>
      </c>
      <c r="BC23" s="12" t="str">
        <f>IF($EW$23="","",$EW$23)</f>
        <v/>
      </c>
      <c r="BD23" s="1332" t="s">
        <v>871</v>
      </c>
      <c r="BE23" s="184" t="s">
        <v>337</v>
      </c>
      <c r="BF23" s="10" t="s">
        <v>56</v>
      </c>
      <c r="BG23" s="12" t="s">
        <v>57</v>
      </c>
      <c r="BH23" s="5" t="s">
        <v>58</v>
      </c>
      <c r="BI23" s="85" t="s">
        <v>86</v>
      </c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3"/>
      <c r="CI23" s="792" t="s">
        <v>593</v>
      </c>
      <c r="CJ23" s="3"/>
      <c r="CK23" s="3"/>
      <c r="CL23" s="287" t="s">
        <v>589</v>
      </c>
      <c r="CM23" s="3"/>
      <c r="CN23" s="3"/>
      <c r="CO23" s="782" t="str">
        <f>IF(CO24="","NA",MATCH(CO24,H25:H49,0))</f>
        <v>NA</v>
      </c>
      <c r="CP23" s="782" t="str">
        <f>IF(OR(CP24="",CP24=0),"NA",MATCH(CP24,CP25:CP49,0))</f>
        <v>NA</v>
      </c>
      <c r="CQ23" s="782" t="s">
        <v>574</v>
      </c>
      <c r="CR23" s="782" t="s">
        <v>583</v>
      </c>
      <c r="CT23" s="255"/>
      <c r="CU23" s="777" t="s">
        <v>326</v>
      </c>
      <c r="CV23" s="777"/>
      <c r="CW23" s="255"/>
      <c r="CX23" s="662" t="s">
        <v>325</v>
      </c>
      <c r="CY23" s="777"/>
      <c r="CZ23" s="797" t="s">
        <v>598</v>
      </c>
      <c r="DA23" s="82"/>
      <c r="DB23" s="82"/>
      <c r="DC23" s="82"/>
      <c r="DD23" s="82"/>
      <c r="DE23" s="82"/>
      <c r="DF23" s="82"/>
      <c r="DG23" s="82"/>
      <c r="DH23" s="82"/>
      <c r="DI23" s="82"/>
      <c r="DJ23" s="82"/>
      <c r="DK23" s="82"/>
      <c r="DL23" s="82"/>
      <c r="DM23" s="83"/>
      <c r="DO23" s="1004" t="s">
        <v>572</v>
      </c>
      <c r="DP23" s="1008"/>
      <c r="DQ23" s="1470" t="s">
        <v>53</v>
      </c>
      <c r="DR23" s="1470" t="s">
        <v>52</v>
      </c>
      <c r="DS23" s="59"/>
      <c r="DT23" s="85" t="s">
        <v>88</v>
      </c>
      <c r="DU23" s="82"/>
      <c r="DV23" s="82"/>
      <c r="DW23" s="82"/>
      <c r="DX23" s="82"/>
      <c r="DY23" s="82"/>
      <c r="DZ23" s="82"/>
      <c r="EA23" s="82"/>
      <c r="EB23" s="82"/>
      <c r="EC23" s="82"/>
      <c r="ED23" s="82"/>
      <c r="EE23" s="82"/>
      <c r="EF23" s="82"/>
      <c r="EG23" s="82"/>
      <c r="EH23" s="82"/>
      <c r="EI23" s="82"/>
      <c r="EJ23" s="82"/>
      <c r="EK23" s="82"/>
      <c r="EL23" s="82"/>
      <c r="EM23" s="82"/>
      <c r="EN23" s="82"/>
      <c r="EO23" s="82"/>
      <c r="EP23" s="82"/>
      <c r="EQ23" s="82"/>
      <c r="ER23" s="82"/>
      <c r="EV23" s="776" t="s">
        <v>556</v>
      </c>
      <c r="EW23" s="776" t="str">
        <f>IF(OR(SUM($EW$25:$EW$49)=25,SUM($EW$25:$EW$49)=0),"",MATCH(1,EW25:EW49,0))</f>
        <v/>
      </c>
      <c r="EX23" s="126" t="s">
        <v>554</v>
      </c>
      <c r="EY23" s="118"/>
      <c r="EZ23" s="126" t="s">
        <v>127</v>
      </c>
      <c r="FA23" s="118"/>
      <c r="FB23" s="119"/>
      <c r="FC23" s="127" t="s">
        <v>129</v>
      </c>
      <c r="FD23" s="72"/>
      <c r="FE23" s="73"/>
      <c r="FF23" s="60" t="s">
        <v>77</v>
      </c>
      <c r="FG23" s="61" t="s">
        <v>75</v>
      </c>
      <c r="FH23" s="181" t="s">
        <v>376</v>
      </c>
      <c r="FI23" s="1314" t="s">
        <v>73</v>
      </c>
      <c r="FJ23" s="1315"/>
      <c r="FK23" s="1316" t="s">
        <v>74</v>
      </c>
      <c r="FL23" s="1314"/>
      <c r="FM23" s="1315" t="s">
        <v>73</v>
      </c>
      <c r="FN23" s="1315"/>
      <c r="FO23" s="1316" t="s">
        <v>74</v>
      </c>
      <c r="FP23" s="1314"/>
      <c r="FQ23" s="1315" t="s">
        <v>73</v>
      </c>
      <c r="FR23" s="1315"/>
      <c r="FS23" s="1316" t="s">
        <v>74</v>
      </c>
      <c r="FT23" s="1314"/>
      <c r="FU23" s="1315" t="s">
        <v>73</v>
      </c>
      <c r="FV23" s="1315"/>
      <c r="FW23" s="1316" t="s">
        <v>74</v>
      </c>
      <c r="FX23" s="1314"/>
      <c r="FY23" s="1315" t="s">
        <v>73</v>
      </c>
      <c r="FZ23" s="1315"/>
      <c r="GA23" s="1316" t="s">
        <v>74</v>
      </c>
      <c r="GB23" s="1314"/>
      <c r="GC23" s="1315" t="s">
        <v>73</v>
      </c>
      <c r="GD23" s="1315"/>
      <c r="GE23" s="1316" t="s">
        <v>74</v>
      </c>
      <c r="GF23" s="1314"/>
      <c r="GG23" s="1315" t="s">
        <v>73</v>
      </c>
      <c r="GH23" s="1315"/>
      <c r="GI23" s="1316" t="s">
        <v>74</v>
      </c>
      <c r="GJ23" s="1314"/>
      <c r="GK23" s="1315" t="s">
        <v>73</v>
      </c>
      <c r="GL23" s="1315"/>
      <c r="GM23" s="1316" t="s">
        <v>74</v>
      </c>
      <c r="GN23" s="1314"/>
      <c r="GO23" s="1315" t="s">
        <v>73</v>
      </c>
      <c r="GP23" s="1315"/>
      <c r="GQ23" s="1316" t="s">
        <v>74</v>
      </c>
      <c r="GR23" s="1314"/>
      <c r="GS23" s="1315" t="s">
        <v>73</v>
      </c>
      <c r="GT23" s="1315"/>
      <c r="GU23" s="1316" t="s">
        <v>74</v>
      </c>
      <c r="GV23" s="1314"/>
      <c r="GW23" s="1315" t="s">
        <v>73</v>
      </c>
      <c r="GX23" s="1315"/>
      <c r="GY23" s="1316" t="s">
        <v>74</v>
      </c>
      <c r="GZ23" s="1314"/>
      <c r="HA23" s="1315" t="s">
        <v>73</v>
      </c>
      <c r="HB23" s="1315"/>
      <c r="HC23" s="1316" t="s">
        <v>74</v>
      </c>
      <c r="HD23" s="1314"/>
      <c r="HE23" s="1315" t="s">
        <v>73</v>
      </c>
      <c r="HF23" s="1315"/>
      <c r="HG23" s="1316" t="s">
        <v>74</v>
      </c>
      <c r="HH23" s="1314"/>
      <c r="HI23" s="1315" t="s">
        <v>73</v>
      </c>
      <c r="HJ23" s="1315"/>
      <c r="HK23" s="1316" t="s">
        <v>74</v>
      </c>
      <c r="HL23" s="1314"/>
      <c r="HM23" s="1315" t="s">
        <v>73</v>
      </c>
      <c r="HN23" s="1315"/>
      <c r="HO23" s="1316" t="s">
        <v>74</v>
      </c>
      <c r="HP23" s="1314"/>
      <c r="HQ23" s="1315" t="s">
        <v>73</v>
      </c>
      <c r="HR23" s="1315"/>
      <c r="HS23" s="1316" t="s">
        <v>74</v>
      </c>
      <c r="HT23" s="1314"/>
      <c r="HU23" s="1315" t="s">
        <v>73</v>
      </c>
      <c r="HV23" s="1315"/>
      <c r="HW23" s="1316" t="s">
        <v>74</v>
      </c>
      <c r="HX23" s="1314"/>
      <c r="HY23" s="1315" t="s">
        <v>73</v>
      </c>
      <c r="HZ23" s="1315"/>
      <c r="IA23" s="1316" t="s">
        <v>74</v>
      </c>
      <c r="IB23" s="1314"/>
      <c r="IC23" s="1315" t="s">
        <v>73</v>
      </c>
      <c r="ID23" s="1315"/>
      <c r="IE23" s="1316" t="s">
        <v>74</v>
      </c>
      <c r="IF23" s="1314"/>
      <c r="IG23" s="1315" t="s">
        <v>73</v>
      </c>
      <c r="IH23" s="1315"/>
      <c r="II23" s="1316" t="s">
        <v>74</v>
      </c>
      <c r="IJ23" s="1314"/>
      <c r="IK23" s="1315" t="s">
        <v>73</v>
      </c>
      <c r="IL23" s="1315"/>
      <c r="IM23" s="1316" t="s">
        <v>74</v>
      </c>
      <c r="IN23" s="1314"/>
      <c r="IO23" s="1315" t="s">
        <v>73</v>
      </c>
      <c r="IP23" s="1315"/>
      <c r="IQ23" s="1316" t="s">
        <v>74</v>
      </c>
      <c r="IR23" s="1314"/>
      <c r="IS23" s="1315" t="s">
        <v>73</v>
      </c>
      <c r="IT23" s="1315"/>
      <c r="IU23" s="1316" t="s">
        <v>74</v>
      </c>
      <c r="IV23" s="1314"/>
      <c r="IW23" s="1315" t="s">
        <v>73</v>
      </c>
      <c r="IX23" s="1315"/>
      <c r="IY23" s="1316" t="s">
        <v>74</v>
      </c>
    </row>
    <row r="24" spans="1:262" s="3" customFormat="1" ht="15.75" customHeight="1" thickTop="1" thickBot="1" x14ac:dyDescent="0.35">
      <c r="A24" s="1322">
        <f>COUNTIF(A25:A49,"ss1")</f>
        <v>0</v>
      </c>
      <c r="B24" s="4" t="s">
        <v>575</v>
      </c>
      <c r="D24" s="191"/>
      <c r="E24" s="510" t="s">
        <v>91</v>
      </c>
      <c r="F24" s="511"/>
      <c r="G24" s="512"/>
      <c r="H24" s="459" t="s">
        <v>91</v>
      </c>
      <c r="I24" s="459" t="s">
        <v>91</v>
      </c>
      <c r="J24" s="514" t="s">
        <v>40</v>
      </c>
      <c r="K24" s="1087" t="s">
        <v>40</v>
      </c>
      <c r="L24" s="515" t="s">
        <v>40</v>
      </c>
      <c r="M24" s="516" t="s">
        <v>40</v>
      </c>
      <c r="N24" s="517">
        <f>MIN(N25:N49)</f>
        <v>0</v>
      </c>
      <c r="O24" s="518" t="str">
        <f>Q24</f>
        <v>l/min</v>
      </c>
      <c r="P24" s="459" t="s">
        <v>647</v>
      </c>
      <c r="Q24" s="518" t="str">
        <f>AT8</f>
        <v>l/min</v>
      </c>
      <c r="R24" s="519" t="str">
        <f>Q24</f>
        <v>l/min</v>
      </c>
      <c r="S24" s="1451" t="s">
        <v>899</v>
      </c>
      <c r="T24" s="514" t="s">
        <v>39</v>
      </c>
      <c r="U24" s="1087" t="s">
        <v>39</v>
      </c>
      <c r="V24" s="174" t="s">
        <v>134</v>
      </c>
      <c r="W24" s="1087" t="s">
        <v>39</v>
      </c>
      <c r="X24" s="130" t="s">
        <v>313</v>
      </c>
      <c r="Y24" s="133" t="s">
        <v>314</v>
      </c>
      <c r="Z24" s="682" t="s">
        <v>39</v>
      </c>
      <c r="AA24" s="1416" t="s">
        <v>942</v>
      </c>
      <c r="AB24" s="521" t="s">
        <v>131</v>
      </c>
      <c r="AC24" s="514" t="str">
        <f>AT9</f>
        <v>kPa</v>
      </c>
      <c r="AD24" s="682" t="str">
        <f>BE24</f>
        <v>kPa</v>
      </c>
      <c r="AE24" s="518" t="str">
        <f>IF($BJ$4=2,"bar/m",IF($BJ$4=3,"m.c.a./m",IF($BJ$4=4,"kg/cm²/m","kPa/m")))</f>
        <v>kPa/m</v>
      </c>
      <c r="AF24" s="1393" t="str">
        <f>AD24</f>
        <v>kPa</v>
      </c>
      <c r="AG24" s="1394" t="str">
        <f>AF24</f>
        <v>kPa</v>
      </c>
      <c r="AH24" s="1397" t="str">
        <f>AF24</f>
        <v>kPa</v>
      </c>
      <c r="AI24" s="516" t="str">
        <f>AH24</f>
        <v>kPa</v>
      </c>
      <c r="AJ24" s="1505" t="str">
        <f>AI24</f>
        <v>kPa</v>
      </c>
      <c r="AK24" s="1505"/>
      <c r="AL24" s="1505"/>
      <c r="AM24" s="1506"/>
      <c r="AN24" s="500" t="s">
        <v>51</v>
      </c>
      <c r="AO24" s="1517" t="s">
        <v>51</v>
      </c>
      <c r="AP24" s="1505"/>
      <c r="AQ24" s="1505"/>
      <c r="AR24" s="459" t="s">
        <v>502</v>
      </c>
      <c r="AS24" s="1257">
        <f>SUM(AS25:AS49)</f>
        <v>0</v>
      </c>
      <c r="AT24" s="886" t="str">
        <f>AT8</f>
        <v>l/min</v>
      </c>
      <c r="AU24" s="1221" t="s">
        <v>834</v>
      </c>
      <c r="AV24" s="156">
        <f>SUM(AV25:AV49)</f>
        <v>0</v>
      </c>
      <c r="AW24" s="45" t="s">
        <v>87</v>
      </c>
      <c r="AX24" s="1339" t="s">
        <v>873</v>
      </c>
      <c r="AY24" s="1340">
        <f>SUM(AY25:AY49)</f>
        <v>0</v>
      </c>
      <c r="AZ24" s="80" t="s">
        <v>582</v>
      </c>
      <c r="BA24" s="830">
        <f>MAX(BA25:BA49)</f>
        <v>0</v>
      </c>
      <c r="BB24" s="806"/>
      <c r="BC24" s="808" t="str">
        <f>IF($BC$23="","",LOOKUP($BC$23,$DN$25:$DN$49,$FF$25:$FF$49))</f>
        <v/>
      </c>
      <c r="BD24" s="807" t="s">
        <v>582</v>
      </c>
      <c r="BE24" s="520" t="str">
        <f>AC24</f>
        <v>kPa</v>
      </c>
      <c r="BF24" s="13"/>
      <c r="BG24" s="14"/>
      <c r="BH24" s="11"/>
      <c r="BI24" s="45" t="s">
        <v>85</v>
      </c>
      <c r="BJ24" s="44">
        <v>1</v>
      </c>
      <c r="BK24" s="44">
        <v>2</v>
      </c>
      <c r="BL24" s="44">
        <v>3</v>
      </c>
      <c r="BM24" s="44">
        <v>4</v>
      </c>
      <c r="BN24" s="44">
        <v>5</v>
      </c>
      <c r="BO24" s="44">
        <v>6</v>
      </c>
      <c r="BP24" s="44">
        <v>7</v>
      </c>
      <c r="BQ24" s="44">
        <v>8</v>
      </c>
      <c r="BR24" s="44">
        <v>9</v>
      </c>
      <c r="BS24" s="44">
        <v>10</v>
      </c>
      <c r="BT24" s="44">
        <v>11</v>
      </c>
      <c r="BU24" s="44">
        <v>12</v>
      </c>
      <c r="BV24" s="44">
        <v>13</v>
      </c>
      <c r="BW24" s="44">
        <v>14</v>
      </c>
      <c r="BX24" s="44">
        <v>15</v>
      </c>
      <c r="BY24" s="44">
        <v>16</v>
      </c>
      <c r="BZ24" s="44">
        <v>17</v>
      </c>
      <c r="CA24" s="44">
        <v>18</v>
      </c>
      <c r="CB24" s="44">
        <v>19</v>
      </c>
      <c r="CC24" s="44">
        <v>20</v>
      </c>
      <c r="CD24" s="44">
        <v>21</v>
      </c>
      <c r="CE24" s="44">
        <v>22</v>
      </c>
      <c r="CF24" s="44">
        <v>23</v>
      </c>
      <c r="CG24" s="44">
        <v>24</v>
      </c>
      <c r="CH24" s="44">
        <v>25</v>
      </c>
      <c r="CI24" s="776" t="str">
        <f>IF(MAX(CI25:CI49)&gt;0,MAX(CI25:CI49),"")</f>
        <v/>
      </c>
      <c r="CL24" s="4" t="s">
        <v>592</v>
      </c>
      <c r="CM24" s="4" t="s">
        <v>591</v>
      </c>
      <c r="CN24" s="824" t="s">
        <v>625</v>
      </c>
      <c r="CO24" s="776" t="str">
        <f>IF(MAX(CO25:CO49)&gt;$AU$7,MAX(CO25:CO49),"")</f>
        <v/>
      </c>
      <c r="CP24" s="776">
        <f>IF(AND(MIN(CP25:CP49)&lt;&gt;$AU$7,MIN(CP25:CP49)&lt;&gt;2*$AU$7,MIN(CP25:CP49)&lt;&gt;3*$AU$7,MIN(CP25:CP49)&lt;&gt;4*$AU$7,MIN(CP25:CP49)&lt;&gt;5*$AU$7,MIN(CP25:CP49)&lt;&gt;6*$AU$7,MIN(CP25:CP49)&lt;&gt;7*$AU$7,MIN(CP25:CP49)&lt;&gt;8*$AU$7),MIN(CP25:CP49),"")</f>
        <v>0</v>
      </c>
      <c r="CQ24" s="783" t="s">
        <v>74</v>
      </c>
      <c r="CR24" s="783" t="s">
        <v>338</v>
      </c>
      <c r="CS24" s="1"/>
      <c r="CT24" s="256" t="s">
        <v>327</v>
      </c>
      <c r="CU24" s="256" t="s">
        <v>328</v>
      </c>
      <c r="CV24" s="256" t="s">
        <v>329</v>
      </c>
      <c r="CW24" s="256" t="s">
        <v>272</v>
      </c>
      <c r="CX24" s="256" t="s">
        <v>271</v>
      </c>
      <c r="CY24" s="256" t="s">
        <v>109</v>
      </c>
      <c r="CZ24" s="137" t="s">
        <v>601</v>
      </c>
      <c r="DA24" s="137" t="s">
        <v>597</v>
      </c>
      <c r="DB24" s="1"/>
      <c r="DC24" s="1"/>
      <c r="DD24" s="137" t="s">
        <v>596</v>
      </c>
      <c r="DE24" s="1"/>
      <c r="DF24" s="1"/>
      <c r="DG24" s="1"/>
      <c r="DH24" s="1"/>
      <c r="DI24" s="1"/>
      <c r="DJ24" s="1"/>
      <c r="DK24" s="1"/>
      <c r="DL24" s="1"/>
      <c r="DM24" s="1"/>
      <c r="DN24" s="494" t="s">
        <v>539</v>
      </c>
      <c r="DO24" s="1008" t="s">
        <v>571</v>
      </c>
      <c r="DP24" s="1008"/>
      <c r="DQ24" s="1471"/>
      <c r="DR24" s="1472"/>
      <c r="DS24" s="705" t="s">
        <v>605</v>
      </c>
      <c r="DT24" s="44">
        <v>1</v>
      </c>
      <c r="DU24" s="44">
        <v>2</v>
      </c>
      <c r="DV24" s="44">
        <v>3</v>
      </c>
      <c r="DW24" s="44">
        <v>4</v>
      </c>
      <c r="DX24" s="44">
        <v>5</v>
      </c>
      <c r="DY24" s="44">
        <v>6</v>
      </c>
      <c r="DZ24" s="44">
        <v>7</v>
      </c>
      <c r="EA24" s="44">
        <v>8</v>
      </c>
      <c r="EB24" s="44">
        <v>9</v>
      </c>
      <c r="EC24" s="44">
        <v>10</v>
      </c>
      <c r="ED24" s="44">
        <v>11</v>
      </c>
      <c r="EE24" s="44">
        <v>12</v>
      </c>
      <c r="EF24" s="44">
        <v>13</v>
      </c>
      <c r="EG24" s="44">
        <v>14</v>
      </c>
      <c r="EH24" s="44">
        <v>15</v>
      </c>
      <c r="EI24" s="44">
        <v>16</v>
      </c>
      <c r="EJ24" s="44">
        <v>17</v>
      </c>
      <c r="EK24" s="44">
        <v>18</v>
      </c>
      <c r="EL24" s="44">
        <v>19</v>
      </c>
      <c r="EM24" s="44">
        <v>20</v>
      </c>
      <c r="EN24" s="44">
        <v>21</v>
      </c>
      <c r="EO24" s="44">
        <v>22</v>
      </c>
      <c r="EP24" s="44">
        <v>23</v>
      </c>
      <c r="EQ24" s="44">
        <v>24</v>
      </c>
      <c r="ER24" s="44">
        <v>25</v>
      </c>
      <c r="ET24" s="1"/>
      <c r="EU24" s="821" t="s">
        <v>539</v>
      </c>
      <c r="EV24" s="746" t="s">
        <v>551</v>
      </c>
      <c r="EW24" s="739"/>
      <c r="EX24" s="125" t="s">
        <v>126</v>
      </c>
      <c r="EY24" s="118"/>
      <c r="EZ24" s="125" t="s">
        <v>125</v>
      </c>
      <c r="FA24" s="118"/>
      <c r="FB24" s="74">
        <f>MAX(FB25:FB49)</f>
        <v>0</v>
      </c>
      <c r="FC24" s="115" t="s">
        <v>128</v>
      </c>
      <c r="FD24" s="75"/>
      <c r="FE24" s="74">
        <f>MAX(FE25:FE49)</f>
        <v>0</v>
      </c>
      <c r="FF24" s="15"/>
      <c r="FG24" s="67"/>
      <c r="FH24" s="514" t="s">
        <v>40</v>
      </c>
      <c r="FI24" s="1317"/>
      <c r="FJ24" s="1318"/>
      <c r="FK24" s="1319" t="s">
        <v>76</v>
      </c>
      <c r="FL24" s="1320"/>
      <c r="FM24" s="1318"/>
      <c r="FN24" s="1318"/>
      <c r="FO24" s="1319" t="s">
        <v>76</v>
      </c>
      <c r="FP24" s="1320"/>
      <c r="FQ24" s="1318"/>
      <c r="FR24" s="1318"/>
      <c r="FS24" s="1319" t="s">
        <v>76</v>
      </c>
      <c r="FT24" s="1320"/>
      <c r="FU24" s="1318"/>
      <c r="FV24" s="1318"/>
      <c r="FW24" s="1319" t="s">
        <v>76</v>
      </c>
      <c r="FX24" s="1320"/>
      <c r="FY24" s="1318"/>
      <c r="FZ24" s="1318"/>
      <c r="GA24" s="1319" t="s">
        <v>76</v>
      </c>
      <c r="GB24" s="1320"/>
      <c r="GC24" s="1318"/>
      <c r="GD24" s="1318"/>
      <c r="GE24" s="1319" t="s">
        <v>76</v>
      </c>
      <c r="GF24" s="1320"/>
      <c r="GG24" s="1318"/>
      <c r="GH24" s="1318"/>
      <c r="GI24" s="1319" t="s">
        <v>76</v>
      </c>
      <c r="GJ24" s="1320"/>
      <c r="GK24" s="1318"/>
      <c r="GL24" s="1318"/>
      <c r="GM24" s="1319" t="s">
        <v>76</v>
      </c>
      <c r="GN24" s="1320"/>
      <c r="GO24" s="1318"/>
      <c r="GP24" s="1318"/>
      <c r="GQ24" s="1319" t="s">
        <v>76</v>
      </c>
      <c r="GR24" s="1320"/>
      <c r="GS24" s="1318"/>
      <c r="GT24" s="1318"/>
      <c r="GU24" s="1319" t="s">
        <v>76</v>
      </c>
      <c r="GV24" s="1320"/>
      <c r="GW24" s="1318"/>
      <c r="GX24" s="1318"/>
      <c r="GY24" s="1319" t="s">
        <v>76</v>
      </c>
      <c r="GZ24" s="1320"/>
      <c r="HA24" s="1318"/>
      <c r="HB24" s="1318"/>
      <c r="HC24" s="1319" t="s">
        <v>76</v>
      </c>
      <c r="HD24" s="1320"/>
      <c r="HE24" s="1318"/>
      <c r="HF24" s="1318"/>
      <c r="HG24" s="1319" t="s">
        <v>76</v>
      </c>
      <c r="HH24" s="1320"/>
      <c r="HI24" s="1318"/>
      <c r="HJ24" s="1318"/>
      <c r="HK24" s="1319" t="s">
        <v>76</v>
      </c>
      <c r="HL24" s="1320"/>
      <c r="HM24" s="1318"/>
      <c r="HN24" s="1318"/>
      <c r="HO24" s="1319" t="s">
        <v>76</v>
      </c>
      <c r="HP24" s="1320"/>
      <c r="HQ24" s="1318"/>
      <c r="HR24" s="1318"/>
      <c r="HS24" s="1319" t="s">
        <v>76</v>
      </c>
      <c r="HT24" s="1320"/>
      <c r="HU24" s="1318"/>
      <c r="HV24" s="1318"/>
      <c r="HW24" s="1319" t="s">
        <v>76</v>
      </c>
      <c r="HX24" s="1320"/>
      <c r="HY24" s="1318"/>
      <c r="HZ24" s="1318"/>
      <c r="IA24" s="1319" t="s">
        <v>76</v>
      </c>
      <c r="IB24" s="1320"/>
      <c r="IC24" s="1318"/>
      <c r="ID24" s="1318"/>
      <c r="IE24" s="1319" t="s">
        <v>76</v>
      </c>
      <c r="IF24" s="1320"/>
      <c r="IG24" s="1318"/>
      <c r="IH24" s="1318"/>
      <c r="II24" s="1319" t="s">
        <v>76</v>
      </c>
      <c r="IJ24" s="1320"/>
      <c r="IK24" s="1318"/>
      <c r="IL24" s="1318"/>
      <c r="IM24" s="1319" t="s">
        <v>76</v>
      </c>
      <c r="IN24" s="1320"/>
      <c r="IO24" s="1318"/>
      <c r="IP24" s="1318"/>
      <c r="IQ24" s="1319" t="s">
        <v>76</v>
      </c>
      <c r="IR24" s="1320"/>
      <c r="IS24" s="1318"/>
      <c r="IT24" s="1318"/>
      <c r="IU24" s="1319" t="s">
        <v>76</v>
      </c>
      <c r="IV24" s="1320"/>
      <c r="IW24" s="1318"/>
      <c r="IX24" s="1318"/>
      <c r="IY24" s="1319" t="s">
        <v>76</v>
      </c>
    </row>
    <row r="25" spans="1:262" s="3" customFormat="1" ht="18" customHeight="1" thickTop="1" thickBot="1" x14ac:dyDescent="0.35">
      <c r="A25" s="1468" t="str">
        <f>IF(OR(F25="",G25="",AND(CZ54="ss1",B25&lt;&gt;"c",B25&lt;&gt;"nc1")),"",IF(CZ54="","",CZ54))</f>
        <v/>
      </c>
      <c r="B25" s="780" t="str">
        <f t="shared" ref="B25:B49" si="6">DO25</f>
        <v/>
      </c>
      <c r="D25" s="525" t="str">
        <f>IF(AND(H25&lt;=$AU$7,OR(LEN(F25)&gt;1,LEN(G25)&gt;1),OR(LEFT(F25,1)="s",LEFT(G25,1)="s"),OR(RIGHT(G25,1)="0",RIGHT(G25,1)="1",RIGHT(G25,1)="2",RIGHT(G25,1)="3",RIGHT(G25,1)="4",RIGHT(G25,1)="5",RIGHT(G25,1)="6",RIGHT(G25,1)="7",RIGHT(G25,1)="8",RIGHT(G25,1)="9",RIGHT(F25,1)="0",RIGHT(F25,1)="1",RIGHT(F25,1)="2",RIGHT(F25,1)="3",RIGHT(F25,1)="4",RIGHT(F25,1)="5",RIGHT(F25,1)="6",RIGHT(F25,1)="7",RIGHT(F25,1)="8",RIGHT(F25,1)="9")),"s","")</f>
        <v/>
      </c>
      <c r="E25" s="522" t="str">
        <f>IF(DO54="","",SUM($DO$54:DO54))</f>
        <v/>
      </c>
      <c r="F25" s="838"/>
      <c r="G25" s="839"/>
      <c r="H25" s="1228"/>
      <c r="I25" s="1228"/>
      <c r="J25" s="1229"/>
      <c r="K25" s="1230"/>
      <c r="L25" s="1270" t="str">
        <f>IF('Quadro 2'!G13="","",'Quadro 2'!G13)</f>
        <v/>
      </c>
      <c r="M25" s="1270" t="str">
        <f>IF(J25="","",IF(L25="",ABS(J25)*(1+$P$14),ABS(J25)+L25))</f>
        <v/>
      </c>
      <c r="N25" s="1459" t="str">
        <f>IF(OR(F25="",G25="",$P$7="",H25="",M25="",$DJ$52=""),"",IF(H25&gt;$AU$7,"",IF(AND(H25&lt;$AU$7,D25="s"),"",IF(AND(H25&lt;=$AU$7,OR(B25="nc",B25="nc1",B25="ncsr")),"",IF(AND(AD25&gt;0,H25=$AU$7,OR(A25="ss1",D25&lt;&gt;"s")),(R25/$B$17)/SQRT(AD25*(1/100)*(1/$B$18)),IF(AND(AC25&gt;0,H25=$AU$7,D25="s"),(R25/$B$17)/SQRT(AC25*(1/100)*(1/$B$18)),""))))))</f>
        <v/>
      </c>
      <c r="O25" s="1480" t="str">
        <f>IFERROR(IF(OR(F25="",G25="",H25="",$AU$8="",$AU$9="",$DJ$52=""),"",IF(AND($EV$53&lt;&gt;"",D25&lt;&gt;"s",B25="nc",CEILING(H25/$AU$7,1)&lt;=$BB$115),VLOOKUP(CEILING(H25/$AU$7,1),$BB$116:$BC$124,2,FALSE)*CZ25,"")),"")</f>
        <v/>
      </c>
      <c r="P25" s="1271" t="str">
        <f>IFERROR(IF(OR(H25="",M25="",$AU$8="",$DJ$52="",$N$24=0),"",IF(AND(H25&lt;=$AU$7,D25="s"),$P$11,$N$24)),"")</f>
        <v/>
      </c>
      <c r="Q25" s="1489" t="str">
        <f>IFERROR(IF(OR(F25="",G25="",H25="",H25=0,M25="",$AU$8="",$AU$9="",$DJ$52="",$A$24=0),"",IF(AND(H25=$N$21,D25="s",DO25="c"),$AU$8,IF(AND(D25="s",DO25="c",H25&gt;=$AU$85,H25&lt;=$AU$84,H25&lt;=$AU$7),LOOKUP(H25,$AU$85:$AU$93,$AW$85:$AW$93),IF(AND(D25="s",$AJ$6&lt;&gt;"x",DO25="nc1",$AZ$84&lt;&gt;"",$AZ$84&lt;&gt;0,H25&lt;=$AZ$84),IFERROR(VLOOKUP(H25,$AY$85:$AZ$93,2,FALSE)*CZ25,""),IF(AND(D25="s",OR(DO25="nc",DO25="nc1",DO25="ncsr"),H25&gt;=$AU$85,H25&lt;=$AU$84,H25&lt;=$AU$7),LOOKUP(H25,$AU$85:$AU$93,$AW$85:$AW$93)*CZ25,IF(OR(AND(H25&lt;$AU$7,D25="s"),AND($BF54=1,$AT$116=""),AND($BF54=1,H25&lt;$AU$6)),$B$17*AU25*$P25*SQRT(AD25*(1/$B$18)*(1/100)),O25)))))),"")</f>
        <v/>
      </c>
      <c r="R25" s="1426" t="str">
        <f t="shared" ref="R25:R49" si="7">IF(OR(M25="",$AU$8="",$AU$9="",$DJ$52=""),"",IF(AND(H25=1,D25="s",DO25="c"),$AU$8,IFERROR(IF(OR(EX54="",EX54=0,EX54&lt;H25*$AU$8),H25*$AU$8,EX54),H25*$AU$8)))</f>
        <v/>
      </c>
      <c r="S25" s="848" t="str">
        <f t="shared" ref="S25:S39" si="8">IF(OR(R25="",R25=0),"","Aço")</f>
        <v/>
      </c>
      <c r="T25" s="58" t="str">
        <f t="shared" ref="T25:T50" si="9">IF(OR(R25="",M25="",$FD$20="",$FD$20=0),"",IF($M$15="",ROUND((61.7*100000*((R25/$B$17)^1.85/($P$16^1.85*$FD$20)))^(1/4.87),1),ROUND(((4^11*$P$16^4*((R25/$B$17/60)*0.001)^7)/(PI()^7*$FD$20^4))^(1/19)*1000,1)))</f>
        <v/>
      </c>
      <c r="U25" s="1133"/>
      <c r="V25" s="143" t="str">
        <f>IF(E25="","",IF($U25&lt;&gt;"",$U25,IF(AND($A$5&gt;=1,$A$5&lt;=7,MAX($CW25:$CY25)=0),T25,IF(AND($A$5&gt;=1,$A$5&lt;=7),MAX($CW25:$CY25),IF(AND($A$5&gt;=11,$A$5&lt;=18),MAX($CT55:$CV55),IF($A$5=8,$CT25,IF($A$5=9,$CU25,IF($A$5=10,$CV25,T25))))))))</f>
        <v/>
      </c>
      <c r="W25" s="849" t="str">
        <f>IF(OR(H25="",V25="",V25=0),"",IF($V25&gt;'Quadro 1'!$G$23,'Quadro 1'!$G$23,IF($V25&lt;'Quadro 1'!$G$10,'Quadro 1'!$G$10,MIN($X25,$Y25))))</f>
        <v/>
      </c>
      <c r="X25" s="850" t="str">
        <f>IF($V25&lt;='Quadro 1'!$G$10,'Quadro 1'!$G$10,IF($V25&lt;='Quadro 1'!$G$11,'Quadro 1'!$G$11,IF($V25&lt;='Quadro 1'!$G$12,'Quadro 1'!$G$12,IF($V25&lt;='Quadro 1'!$G$13,'Quadro 1'!$G$13,IF($V25&lt;='Quadro 1'!$G$14,'Quadro 1'!$G$14,IF($V25&lt;='Quadro 1'!$G$15,'Quadro 1'!$G$15,IF($V25&lt;='Quadro 1'!$G$16,'Quadro 1'!$G$16,"")))))))</f>
        <v/>
      </c>
      <c r="Y25" s="851" t="str">
        <f>IF(OR(V25="",V25=0),"",IF($V25&lt;='Quadro 1'!$G$17,'Quadro 1'!$G$17,IF($V25&lt;='Quadro 1'!$G$18,'Quadro 1'!$G$18,IF($V25&lt;='Quadro 1'!$G$19,'Quadro 1'!$G$19,IF($V25&lt;='Quadro 1'!$G$20,'Quadro 1'!$G$20,IF($V25&lt;='Quadro 1'!$G$21,'Quadro 1'!$G$21,IF($V25&lt;='Quadro 1'!$G$22,'Quadro 1'!$G$22,IF($V25&lt;='Quadro 1'!$G$23,'Quadro 1'!$G$23,'Quadro 1'!$G$23))))))))</f>
        <v/>
      </c>
      <c r="Z25" s="852" t="str">
        <f>IF(W25="","",LOOKUP(W25,'Quadro 1'!$G$9:$G$23,'Quadro 1'!$H$9:$H$23))</f>
        <v/>
      </c>
      <c r="AA25" s="1417" t="str">
        <f>IF(W25="","",LOOKUP(W25,'Quadro 1'!$G$9:$G$23,'Quadro 1'!$D$9:$D$23))</f>
        <v/>
      </c>
      <c r="AB25" s="853" t="str">
        <f>IF(W25="","",LOOKUP(W25,'Quadro 1'!$G$9:$G$23,'Quadro 1'!$E$9:$E$23))</f>
        <v/>
      </c>
      <c r="AC25" s="1272" t="str">
        <f>IFERROR(IF(OR($G25="",$DJ$52=""),"",IF(AND(BF25="",AW25&lt;&gt;""),AW25,IF(AND(BF25="",AW25=""),AT54,BF25))),"")</f>
        <v/>
      </c>
      <c r="AD25" s="1274" t="str">
        <f t="shared" ref="AD25:AD32" si="10">IFERROR(IF(OR($G25="",H25=0,$DJ$52=""),"",IF(BH25=0,(BE25-K25*$AU$19*$B$18),BH25)),"")</f>
        <v/>
      </c>
      <c r="AE25" s="1392" t="str">
        <f>IFERROR(IF(OR($P$16="",R25="",AN25="",W25=""),"",IF($M$15="",$B$18*$AU$19*61.7*100000*((R25/$B$17)^1.85/($P$16^1.85*W25^4.87)),$B$18*$AU$19*((4*$P$16*((AN25^7)/(W25/1000))^(1/4))/(W25/1000)))),"")</f>
        <v/>
      </c>
      <c r="AF25" s="1395" t="str">
        <f>IF(OR(M25="",AE25=""),"",ABS(M25*AE25))</f>
        <v/>
      </c>
      <c r="AG25" s="1396" t="str">
        <f>IF(OR($G25="",H25=0,$K25=""),"",K25*$AU$19*$B$18)</f>
        <v/>
      </c>
      <c r="AH25" s="1398" t="str">
        <f t="shared" ref="AH25:AH49" si="11">IF(OR(AC25="",AC25=0,AD25="",AD25=0),"",(AC25-AD25))</f>
        <v/>
      </c>
      <c r="AI25" s="1490" t="str">
        <f>IF(OR(AH25="",$AU$8="",$DJ$52=""),"",IF(OR($D25="s",H25&lt;$AU$7,B25="nc",B25="nc1",B25="ncsr"),"",FD112))</f>
        <v/>
      </c>
      <c r="AJ25" s="1502" t="str">
        <f>IF(OR($AU$8="",AE25=""),"",IF(BE25=0,"Redimensionar",IF(OR($D25="s",H25&lt;$AU$7,B25="nc",B25="nc1",B25="nc2"),"Não aplicável",IF(AI25&lt;$AM$23,"Conforme","Redimensionar"))))</f>
        <v/>
      </c>
      <c r="AK25" s="1503"/>
      <c r="AL25" s="1503"/>
      <c r="AM25" s="1504"/>
      <c r="AN25" s="1275" t="str">
        <f t="shared" ref="AN25:AN49" si="12">IF(OR(R25="",W25=""),"",(66.7*R25/$B$17)/(PI()*W25^2))</f>
        <v/>
      </c>
      <c r="AO25" s="1502" t="str">
        <f t="shared" ref="AO25:AO49" si="13">IF(AN25="","",IF(AND($AN25&gt;=$U$13,$AN25&lt;=$P$13),"Conforme","Redimensionar"))</f>
        <v/>
      </c>
      <c r="AP25" s="1507"/>
      <c r="AQ25" s="1504"/>
      <c r="AR25" s="846"/>
      <c r="AS25" s="1258">
        <f>IF(AT25="",0,IF(R25&lt;AT25,1,0))</f>
        <v>0</v>
      </c>
      <c r="AT25" s="1256">
        <f>IF(OR(H25="",R25="",R25=0),0,H25*$AU$8)</f>
        <v>0</v>
      </c>
      <c r="AU25" s="1381">
        <f>IF(AT130="",AU130,IF(OR(AT130&lt;&gt;0,AT130&lt;&gt;1),AT130,AU130))</f>
        <v>1</v>
      </c>
      <c r="AV25" s="157" t="str">
        <f t="shared" ref="AV25:AV49" si="14">IF(F25="","",IF(F25=$DT$14,1,0))</f>
        <v/>
      </c>
      <c r="AW25" s="87" t="str">
        <f>IF(BF25&lt;&gt;"",BF25,IF(MAX(AX25,BB25,BC25)=0,"",MAX(AX25,BB25,BC25)))</f>
        <v/>
      </c>
      <c r="AX25" s="87" t="str">
        <f t="shared" ref="AX25:AX49" si="15">IF($F25="","",IF($F25=$G$25,$AD$25,IF($F25=$G$26,$AD$26,IF($F25=$G$27,$AD$27,IF($F25=$G$28,$AD$28,IF($F25=$G$29,$AD$29,IF($F25=$G$30,$AD$30,IF($F25=$G$31,$AD$31,IF($F25=$G$32,$AD$32,IF($F25=$G$33,$AD$33,IF($F25=$G$34,$AD$34,IF($F25=$G$35,$AD$35,IF($F25=$G$36,$AD$36,IF($F25=$G$37,$AD$37,IF($F25=$G$38,$AD$38,IF($F25=$G$39,$AD$39,IF($F25=$G$40,$AD$40,IF($F25=$G$41,$AD$41,IF($F25=$G$42,$AD$42,IF($F25=$G$43,$AD$43,IF($F25=$G$44,$AD$44,IF($F25=$G$45,$AD$45,IF($F25=$G$46,$AD$46,IF($F25=$G$47,$AD$47,IF($F25=$G$48,$AD$48,IF($F25=$G$49,$AD$49,""))))))))))))))))))))))))))</f>
        <v/>
      </c>
      <c r="AY25" s="1341" t="str">
        <f>IF(AND(A25="",B25=""),"",IF(AND(OR(A25&lt;&gt;"",B25&lt;&gt;""),OR(F25="",G25="",H25="",I25="",J25="")),1,IF(OR($A$24&lt;$AU$7,AND(MAX($H$25:$H$49)&lt;$P$8,MAX($H$25:$H$49)&lt;$AU$6)),1,IF(AND(AH25&lt;&gt;"",OR(AC25="",AD25="")),50,""))))</f>
        <v/>
      </c>
      <c r="AZ25" s="701">
        <f>IF(AND(FF25=$EV$53,B25="c"),$BA$23,IF(AND(FF25=$EV$53,B25="nc"),$BA$23,BD25))</f>
        <v>1</v>
      </c>
      <c r="BA25" s="1338" t="str">
        <f>IF(AND(FF25=$EV$53,B25="c"),BD25,IF(AND(FF25=$EV$53,B25="nc"),"",""))</f>
        <v/>
      </c>
      <c r="BB25" s="1335" t="str">
        <f>IF(BD25="","",LOOKUP(BD25,$DN$25:$DN$49,$BF$25:$BF$49))</f>
        <v/>
      </c>
      <c r="BC25" s="86" t="str">
        <f>IF($BC$23="","",IF(FF25=$BC$24,LOOKUP($BC$23,$DN$25:$DN$49,$BF$25:$BF$49),""))</f>
        <v/>
      </c>
      <c r="BD25" s="701">
        <f>IF(OR($FF25="",COUNTIF($FF$25:$FF$49,$FF25)=0),"",MATCH($FF25,$FF$25:$FF$49,0))</f>
        <v>1</v>
      </c>
      <c r="BE25" s="1273" t="str">
        <f>IFERROR(IF(OR($G25="",H25=0),"",IF(V25="",0,IF(AND(BG25="",AF25&lt;&gt;"",AC25&lt;&gt;""),(AC25-AF25),BG25))),"")</f>
        <v/>
      </c>
      <c r="BF25" s="86" t="str">
        <f t="shared" ref="BF25:BF49" si="16">IF(OR($G25="",$BG25="",$AF25=""),"",$BG25+$AF25)</f>
        <v/>
      </c>
      <c r="BG25" s="57" t="str">
        <f t="shared" ref="BG25:BG49" si="17">IF(OR($G25="",$BH25="",$BH25=0),"",IF(($BH25+$B$18*$AU$19*$K25)&gt;=0,$BH25+$B$18*$AU$19*$K25,0))</f>
        <v/>
      </c>
      <c r="BH25" s="1329">
        <f>IF($AU$9="","",IF(AND($EV25="crítico",$EU25=$EW$23),$AU$9,IF(BI25&gt;0,BI25,0)))</f>
        <v>0</v>
      </c>
      <c r="BI25" s="88">
        <f>MIN(BJ25:CH25)</f>
        <v>0</v>
      </c>
      <c r="BJ25" s="88" t="str">
        <f t="shared" ref="BJ25:BJ49" si="18">IF($G25="","",IF($G25=$F$25,$BF$25,""))</f>
        <v/>
      </c>
      <c r="BK25" s="88" t="str">
        <f t="shared" ref="BK25:BK49" si="19">IF($G25="","",IF($G25=$F$26,$BF$26,""))</f>
        <v/>
      </c>
      <c r="BL25" s="88" t="str">
        <f t="shared" ref="BL25:BL49" si="20">IF($G25="","",IF($G25=$F$27,$BF$27,""))</f>
        <v/>
      </c>
      <c r="BM25" s="88" t="str">
        <f t="shared" ref="BM25:BM49" si="21">IF($G25="","",IF($G25=$F$28,$BF$28,""))</f>
        <v/>
      </c>
      <c r="BN25" s="88" t="str">
        <f t="shared" ref="BN25:BN49" si="22">IF($G25="","",IF($G25=$F$29,$BF$29,""))</f>
        <v/>
      </c>
      <c r="BO25" s="88" t="str">
        <f t="shared" ref="BO25:BO49" si="23">IF($G25="","",IF($G25=$F$30,$BF$30,""))</f>
        <v/>
      </c>
      <c r="BP25" s="88" t="str">
        <f t="shared" ref="BP25:BP49" si="24">IF($G25="","",IF($G25=$F$31,$BF$31,""))</f>
        <v/>
      </c>
      <c r="BQ25" s="88" t="str">
        <f t="shared" ref="BQ25:BQ49" si="25">IF($G25="","",IF($G25=$F$32,$BF$32,""))</f>
        <v/>
      </c>
      <c r="BR25" s="88" t="str">
        <f t="shared" ref="BR25:BR49" si="26">IF($G25="","",IF($G25=$F$33,$BF$33,""))</f>
        <v/>
      </c>
      <c r="BS25" s="88" t="str">
        <f t="shared" ref="BS25:BS49" si="27">IF($G25="","",IF($G25=$F$34,$BF$34,""))</f>
        <v/>
      </c>
      <c r="BT25" s="88" t="str">
        <f t="shared" ref="BT25:BT49" si="28">IF($G25="","",IF($G25=$F$35,$BF$35,""))</f>
        <v/>
      </c>
      <c r="BU25" s="88" t="str">
        <f t="shared" ref="BU25:BU49" si="29">IF($G25="","",IF($G25=$F$36,$BF$36,""))</f>
        <v/>
      </c>
      <c r="BV25" s="88" t="str">
        <f t="shared" ref="BV25:BV49" si="30">IF($G25="","",IF($G25=$F$37,$BF$37,""))</f>
        <v/>
      </c>
      <c r="BW25" s="88" t="str">
        <f t="shared" ref="BW25:BW49" si="31">IF($G25="","",IF($G25=$F$38,$BF$38,""))</f>
        <v/>
      </c>
      <c r="BX25" s="88" t="str">
        <f t="shared" ref="BX25:BX49" si="32">IF($G25="","",IF($G25=$F$39,$BF$39,""))</f>
        <v/>
      </c>
      <c r="BY25" s="88" t="str">
        <f t="shared" ref="BY25:BY49" si="33">IF($G25="","",IF($G25=$F$40,$BF$40,""))</f>
        <v/>
      </c>
      <c r="BZ25" s="88" t="str">
        <f t="shared" ref="BZ25:BZ49" si="34">IF($G25="","",IF($G25=$F$41,$BF$41,""))</f>
        <v/>
      </c>
      <c r="CA25" s="88" t="str">
        <f t="shared" ref="CA25:CA49" si="35">IF($G25="","",IF($G25=$F$42,$BF$42,""))</f>
        <v/>
      </c>
      <c r="CB25" s="88" t="str">
        <f t="shared" ref="CB25:CB49" si="36">IF($G25="","",IF($G25=$F$43,$BF$43,""))</f>
        <v/>
      </c>
      <c r="CC25" s="88" t="str">
        <f t="shared" ref="CC25:CC49" si="37">IF($G25="","",IF($G25=$F$44,$BF$44,""))</f>
        <v/>
      </c>
      <c r="CD25" s="88" t="str">
        <f t="shared" ref="CD25:CD49" si="38">IF($G25="","",IF($G25=$F$45,$BF$45,""))</f>
        <v/>
      </c>
      <c r="CE25" s="88" t="str">
        <f t="shared" ref="CE25:CE49" si="39">IF($G25="","",IF($G25=$F$46,$BF$46,""))</f>
        <v/>
      </c>
      <c r="CF25" s="88" t="str">
        <f t="shared" ref="CF25:CF49" si="40">IF($G25="","",IF($G25=$F$47,$BF$47,""))</f>
        <v/>
      </c>
      <c r="CG25" s="88" t="str">
        <f t="shared" ref="CG25:CG49" si="41">IF($G25="","",IF($G25=$F$48,$BF$48,""))</f>
        <v/>
      </c>
      <c r="CH25" s="88" t="str">
        <f t="shared" ref="CH25:CH49" si="42">IF($G25="","",IF($G25=$F$49,$BF$49,""))</f>
        <v/>
      </c>
      <c r="CI25" s="790" t="str">
        <f t="shared" ref="CI25:CI49" si="43">IF(OR(W25="",CM25="",CJ25=0),"0",IF(W25&lt;CJ25,1,"0"))</f>
        <v>0</v>
      </c>
      <c r="CJ25" s="791">
        <f t="shared" ref="CJ25:CJ49" si="44">IF(OR(I25="",CM25=""),0,IF(LOOKUP(CM25,$EU$25:$EU$49,$W$25:$W$49)="",0,LOOKUP(CM25,$EU$25:$EU$49,$W$25:$W$49)))</f>
        <v>0</v>
      </c>
      <c r="CK25" s="784" t="str">
        <f t="shared" ref="CK25:CK49" si="45">IF(OR(H25="",CM25=""),"NA",IF(H25&lt;CL25,E25,"NA"))</f>
        <v>NA</v>
      </c>
      <c r="CL25" s="784" t="str">
        <f t="shared" ref="CL25:CL49" si="46">IF(CM25="","",LOOKUP(CM25,$EU$25:$EU$49,$H$25:$H$49))</f>
        <v/>
      </c>
      <c r="CM25" s="784" t="str">
        <f>IF(OR(DT25="",DS25=1),"",IFERROR(MATCH(DT25,$FF$25:$FF$49,0),""))</f>
        <v/>
      </c>
      <c r="CN25" s="790" t="str">
        <f t="shared" ref="CN25:CN49" si="47">IF(AND(LEFT(G25,1)="s",OR(RIGHT(G25,1)="0",RIGHT(G25,1)="1",RIGHT(G25,1)="2",RIGHT(G25,1)="3",RIGHT(G25,1)="4",RIGHT(G25,1)="5",RIGHT(G25,1)="6",RIGHT(G25,1)="7",RIGHT(G25,1)="8",RIGHT(G25,1)="9"),LEN(G25)&gt;1),"s","")</f>
        <v/>
      </c>
      <c r="CO25" s="790" t="str">
        <f t="shared" ref="CO25:CO49" si="48">IF(OR(G25=$FB$80,G25=$FB$81,G25=$FB$82,G25=$FB$83,G25=$FB$84,G25=$FB$85,G25=$FB$86,G25=$FB$87,G25=$FB$88,G25=$FB$89),"",IF(AND($E25&lt;&gt;"",$CN25="s"),$H25,""))</f>
        <v/>
      </c>
      <c r="CP25" s="784" t="str">
        <f t="shared" ref="CP25:CP49" si="49">IF(OR(AND($E25&lt;&gt;"",$CN25=""),AND(F25=$FB$80,H25=$AU$7)),$H25,"")</f>
        <v/>
      </c>
      <c r="CQ25" s="790" t="str">
        <f t="shared" ref="CQ25:CQ49" si="50">IF(OR(K25="",ABS(K25)&lt;=J25),"",1)</f>
        <v/>
      </c>
      <c r="CR25" s="524">
        <f t="shared" ref="CR25:CR49" si="51">IF(OR(AO25="",AO25="Conforme",AO25="Não aplicável"),0,1)</f>
        <v>0</v>
      </c>
      <c r="CS25" s="257" t="str">
        <f>IF(OR(AND($A$5&lt;1,$A$5&gt;18),$E25=""),"",IF(AND($I25="",$H25=""),"",IF($I25="",$H25,I25)))</f>
        <v/>
      </c>
      <c r="CT25" s="496">
        <f>IF($CS25&lt;=2,27.3,IF($CS25&lt;=3,36,IF($CS25&lt;=5,41.9,IF($CS25&lt;=10,53.1,IF($CS25&lt;=20,68.9,IF($CS25&lt;=30,80.9,IF($CS25&lt;=40,105.3,IF($CS25&lt;=60,129.7,155.1))))))))</f>
        <v>155.1</v>
      </c>
      <c r="CU25" s="496">
        <f>IF($CS25&lt;=2,27.3,IF($CS25&lt;=3,36,IF($CS25&lt;=5,41.9,IF($CS25&lt;=10,53.1,IF($CS25&lt;=20,68.9,IF($CS25&lt;=30,80.9,IF($CS25&lt;=40,105.3,IF($CS25&lt;=60,129.7,155.1))))))))</f>
        <v>155.1</v>
      </c>
      <c r="CV25" s="496">
        <f>IF($CS25=1,27.3,IF($CS25&lt;=2,36,IF($CS25&lt;=3,41.9,IF($CS25&lt;=5,53.1,IF($CS25&lt;=8,68.9,IF($CS25&lt;=15,80.9,IF($CS25&lt;=30,105.3,IF($CS25&lt;=40,129.7,155.1))))))))</f>
        <v>155.1</v>
      </c>
      <c r="CW25" s="495" t="str">
        <f t="shared" ref="CW25:CW49" si="52">IF(OR($A$5&lt;&gt;1,$E25=""),"",IF($CS25&lt;=2,27.3,IF($CS25&lt;=3,36,IF($CS25&lt;=5,41.9,IF($CS25&lt;=10,53.1,IF($CS25&lt;=30,68.9,IF($CS25&lt;=60,80.9,IF($CS25&lt;=100,105.3,129.7))))))))</f>
        <v/>
      </c>
      <c r="CX25" s="496" t="str">
        <f t="shared" ref="CX25:CX49" si="53">IF(OR(AND($A$5&lt;&gt;2,$A$5&lt;&gt;3,$A$5&lt;&gt;4),$E25=""),"",IF($CS25&lt;=2,27.3,IF($CS25&lt;=3,36,IF($CS25&lt;=5,41.9,IF($CS25&lt;=10,53.1,IF($CS25&lt;=20,68.9,IF($CS25&lt;=40,80.9,IF($CS25&lt;=100,105.3,129.7))))))))</f>
        <v/>
      </c>
      <c r="CY25" s="496" t="str">
        <f>IF(OR(AND($A$5&lt;&gt;5,$A$5&lt;&gt;6,$A$5&lt;&gt;7),$E25=""),"",IF($CS25&lt;=1,27.3,IF($CS25&lt;=2,36,IF($CS25&lt;=5,41.9,IF($CS25&lt;=8,53.1,IF($CS25&lt;=15,68.9,IF($CS25&lt;=27,80.9,IF($CS25&lt;=55,105.3,129.7))))))))</f>
        <v/>
      </c>
      <c r="CZ25" s="1456">
        <f>IF(OR(DO25="c",DO25="nc1"),1,IF(DA25="",1,IF(AND(H25&lt;=$AU$7,$EV$53&lt;&gt;"",DA25&lt;&gt;$BI$115,DA25&lt;&gt;$BI$116,DA25&lt;&gt;$BI$117,DA25&lt;&gt;$BI$118,DA25&lt;&gt;$BI$119,DA25&lt;&gt;$BI$120,DA25&lt;&gt;$BI$121,DA25&lt;&gt;$BI$122),LOOKUP(MATCH(DA25,$AT$116:$AT$124,0),$BE$116:$BE$124,$BF$116:$BF$124),IF($BK115="","",$BK115))))</f>
        <v>1</v>
      </c>
      <c r="DA25" s="157" t="str">
        <f>IF(DB25&lt;&gt;"",DB25,IF(DC25&lt;&gt;"",DC25,""))</f>
        <v/>
      </c>
      <c r="DB25" s="213" t="str">
        <f>IF(DD25&lt;&gt;"",DD25,IF(DE25&lt;&gt;"",DE25,IF(DF25&lt;&gt;"",DF25,IF(DG25&lt;&gt;"",DG25,IF(DH25&lt;&gt;"",DH25,IF(DI25&lt;&gt;"",DI25,IF(DJ25&lt;&gt;"",DJ25,"")))))))</f>
        <v/>
      </c>
      <c r="DC25" s="213" t="str">
        <f>IF(DK25&lt;&gt;"",DK25,IF(DL25&lt;&gt;"",DL25,IF(DM25&lt;&gt;"",DM25,"")))</f>
        <v/>
      </c>
      <c r="DD25" s="157" t="str">
        <f t="shared" ref="DD25:DD49" si="54">IF(OR($DT25="",$AU$102="",COUNTIF($DT25:$ER25,$AU$102)=0),"",LOOKUP(MATCH($AU$102,$DT25:$ER25,0),$DT$24:$ER$24,$DT25:$ER25))</f>
        <v/>
      </c>
      <c r="DE25" s="157" t="str">
        <f t="shared" ref="DE25:DE49" si="55">IF(OR($DT25="",$AU$103="",COUNTIF($DT25:$ER25,$AU$103)=0),"",LOOKUP(MATCH($AU$103,$DT25:$ER25,0),$DT$24:$ER$24,$DT25:$ER25))</f>
        <v/>
      </c>
      <c r="DF25" s="157" t="str">
        <f t="shared" ref="DF25:DF49" si="56">IF(OR($DT25="",$AU$104="",COUNTIF($DT25:$ER25,$AU$104)=0),"",LOOKUP(MATCH($AU$104,$DT25:$ER25,0),$DT$24:$ER$24,$DT25:$ER25))</f>
        <v/>
      </c>
      <c r="DG25" s="157" t="str">
        <f t="shared" ref="DG25:DG49" si="57">IF(OR($DT25="",$AU$105="",COUNTIF($DT25:$ER25,$AU$105)=0),"",LOOKUP(MATCH($AU$105,$DT25:$ER25,0),$DT$24:$ER$24,$DT25:$ER25))</f>
        <v/>
      </c>
      <c r="DH25" s="157" t="str">
        <f t="shared" ref="DH25:DH49" si="58">IF(OR($DT25="",$AU$106="",COUNTIF($DT25:$ER25,$AU$106)=0),"",LOOKUP(MATCH($AU$106,$DT25:$ER25,0),$DT$24:$ER$24,$DT25:$ER25))</f>
        <v/>
      </c>
      <c r="DI25" s="157" t="str">
        <f t="shared" ref="DI25:DI49" si="59">IF(OR($DT25="",$AU$107="",COUNTIF($DT25:$ER25,$AU$107)=0),"",LOOKUP(MATCH($AU$107,$DT25:$ER25,0),$DT$24:$ER$24,$DT25:$ER25))</f>
        <v/>
      </c>
      <c r="DJ25" s="157" t="str">
        <f t="shared" ref="DJ25:DJ49" si="60">IF(OR($DT25="",$AU$108="",COUNTIF($DT25:$ER25,$AU$108)=0),"",LOOKUP(MATCH($AU$108,$DT25:$ER25,0),$DT$24:$ER$24,$DT25:$ER25))</f>
        <v/>
      </c>
      <c r="DK25" s="157" t="str">
        <f t="shared" ref="DK25:DK49" si="61">IF(OR($DT25="",$AU$109="",COUNTIF($DT25:$ER25,$AU$109)=0),"",LOOKUP(MATCH($AU$109,$DT25:$ER25,0),$DT$24:$ER$24,$DT25:$ER25))</f>
        <v/>
      </c>
      <c r="DL25" s="157" t="str">
        <f t="shared" ref="DL25:DL49" si="62">IF(OR($DT25="",$AU$110="",COUNTIF($DT25:$ER25,$AU$110)=0),"",LOOKUP(MATCH($AU$110,$DT25:$ER25,0),$DT$24:$ER$24,$DT25:$ER25))</f>
        <v/>
      </c>
      <c r="DM25" s="157" t="str">
        <f t="shared" ref="DM25:DM49" si="63">IF(OR($DT25="",$AU$111="",COUNTIF($DT25:$ER25,$AU$111)=0),"",LOOKUP(MATCH($AU$111,$DT25:$ER25,0),$DT$24:$ER$24,$DT25:$ER25))</f>
        <v/>
      </c>
      <c r="DN25" s="33">
        <v>1</v>
      </c>
      <c r="DO25" s="1466" t="str">
        <f>IF(OR(DP25="",F25="",G25="",H25="",J25=""),"",IF(OR(DP25&gt;=1,EV25="Crítico"),"c",IF(AND(D25="s",H25&lt;=I25,H25&lt;$AU$7,DA54="srs1"),"nc1",IF(AND(D25="s",H25&lt;=I25,H25&lt;$AU$7,DA54&lt;&gt;"srs1"),"ncsr","nc"))))</f>
        <v/>
      </c>
      <c r="DP25" s="1014" t="str">
        <f t="shared" ref="DP25:DP49" si="64">IF(DT25="","",COUNTIF($DT$9:$ER$9,DT25))</f>
        <v/>
      </c>
      <c r="DQ25" s="1026" t="str">
        <f>IF(F25&lt;&gt;"",F25,"")</f>
        <v/>
      </c>
      <c r="DR25" s="1026" t="str">
        <f>IF(G25&lt;&gt;"",G25,"")</f>
        <v/>
      </c>
      <c r="DS25" s="93" t="str">
        <f t="shared" ref="DS25:DS49" si="65">IF(OR(DT25="",DT25=0),"",COUNTIF($DT$25:$ER$49,DT25))</f>
        <v/>
      </c>
      <c r="DT25" s="213" t="str">
        <f t="shared" ref="DT25:DT49" si="66">IF(FG25=0,"",FG25)</f>
        <v/>
      </c>
      <c r="DU25" s="144" t="str">
        <f t="shared" ref="DU25:DU49" si="67">FI25</f>
        <v/>
      </c>
      <c r="DV25" s="144" t="str">
        <f t="shared" ref="DV25:DV49" si="68">FM25</f>
        <v/>
      </c>
      <c r="DW25" s="144" t="str">
        <f t="shared" ref="DW25:DW49" si="69">FQ25</f>
        <v/>
      </c>
      <c r="DX25" s="144" t="str">
        <f t="shared" ref="DX25:DX49" si="70">FU25</f>
        <v/>
      </c>
      <c r="DY25" s="144" t="str">
        <f t="shared" ref="DY25:DY49" si="71">FY25</f>
        <v/>
      </c>
      <c r="DZ25" s="144" t="str">
        <f t="shared" ref="DZ25:DZ49" si="72">GC25</f>
        <v/>
      </c>
      <c r="EA25" s="144" t="str">
        <f t="shared" ref="EA25:EA49" si="73">GG25</f>
        <v/>
      </c>
      <c r="EB25" s="144" t="str">
        <f t="shared" ref="EB25:EB49" si="74">GK25</f>
        <v/>
      </c>
      <c r="EC25" s="144" t="str">
        <f t="shared" ref="EC25:EC49" si="75">GO25</f>
        <v/>
      </c>
      <c r="ED25" s="144" t="str">
        <f t="shared" ref="ED25:ED49" si="76">GS25</f>
        <v/>
      </c>
      <c r="EE25" s="144" t="str">
        <f t="shared" ref="EE25:EE49" si="77">GW25</f>
        <v/>
      </c>
      <c r="EF25" s="144" t="str">
        <f t="shared" ref="EF25:EF49" si="78">HA25</f>
        <v/>
      </c>
      <c r="EG25" s="144" t="str">
        <f t="shared" ref="EG25:EG49" si="79">HE25</f>
        <v/>
      </c>
      <c r="EH25" s="144" t="str">
        <f t="shared" ref="EH25:EH49" si="80">HI25</f>
        <v/>
      </c>
      <c r="EI25" s="144" t="str">
        <f t="shared" ref="EI25:EI49" si="81">HM25</f>
        <v/>
      </c>
      <c r="EJ25" s="144" t="str">
        <f t="shared" ref="EJ25:EJ49" si="82">HQ25</f>
        <v/>
      </c>
      <c r="EK25" s="144" t="str">
        <f t="shared" ref="EK25:EK49" si="83">HU25</f>
        <v/>
      </c>
      <c r="EL25" s="144" t="str">
        <f t="shared" ref="EL25:EL49" si="84">HY25</f>
        <v/>
      </c>
      <c r="EM25" s="144" t="str">
        <f t="shared" ref="EM25:EM49" si="85">IC25</f>
        <v/>
      </c>
      <c r="EN25" s="719" t="str">
        <f t="shared" ref="EN25:EN49" si="86">IG25</f>
        <v/>
      </c>
      <c r="EO25" s="719" t="str">
        <f t="shared" ref="EO25:EO49" si="87">IK25</f>
        <v/>
      </c>
      <c r="EP25" s="719" t="str">
        <f t="shared" ref="EP25:EP49" si="88">IO25</f>
        <v/>
      </c>
      <c r="EQ25" s="719" t="str">
        <f t="shared" ref="EQ25:EQ49" si="89">IS25</f>
        <v/>
      </c>
      <c r="ER25" s="719" t="str">
        <f t="shared" ref="ER25:ER49" si="90">IW25</f>
        <v/>
      </c>
      <c r="EU25" s="33">
        <v>1</v>
      </c>
      <c r="EV25" s="735" t="str">
        <f t="shared" ref="EV25:EV49" si="91">IF(ER170="","",ER170)</f>
        <v>Crítico</v>
      </c>
      <c r="EW25" s="741">
        <f t="shared" ref="EW25:EW49" si="92">IF(ES170="","",ES170)</f>
        <v>1</v>
      </c>
      <c r="EX25" s="121" t="str">
        <f t="shared" ref="EX25:EX49" si="93">IF($FA$50=1,EZ25,IF(AND(EZ25="Crítico",$FA$50&gt;1,FE83=$FE$82),"Crítico",FC25))</f>
        <v>Crítico</v>
      </c>
      <c r="EY25" s="124">
        <f>IF(EX25="","",1)</f>
        <v>1</v>
      </c>
      <c r="EZ25" s="121" t="str">
        <f t="shared" ref="EZ25:EZ49" si="94">IF(FB25="","",IF(FB25=$FB$24,"Crítico",""))</f>
        <v>Crítico</v>
      </c>
      <c r="FA25" s="124">
        <f t="shared" ref="FA25:FA49" si="95">IF(EZ25="","",1)</f>
        <v>1</v>
      </c>
      <c r="FB25" s="18">
        <f t="shared" ref="FB25:FB49" si="96">FE25+FE83</f>
        <v>0</v>
      </c>
      <c r="FC25" s="254" t="str">
        <f t="shared" ref="FC25:FC49" si="97">IF(OR(FE25="",FE25=0),"",IF(FE25=$FE$24,"Crítico",""))</f>
        <v/>
      </c>
      <c r="FD25" s="76" t="str">
        <f>IF(FC25="","",1)</f>
        <v/>
      </c>
      <c r="FE25" s="18">
        <f>FH25+FK25+FO25+FS25+FW25+GA25+GE25+GI25+GM25+GQ25+GU25+GY25+HC25+HG25+HK25+HO25+HS25+HW25+IA25+IE25+II25+IM25+IQ25+IU25+IY25</f>
        <v>0</v>
      </c>
      <c r="FF25" s="703">
        <f t="shared" ref="FF25:FF49" si="98">F25</f>
        <v>0</v>
      </c>
      <c r="FG25" s="702">
        <f t="shared" ref="FG25:FG49" si="99">G25</f>
        <v>0</v>
      </c>
      <c r="FH25" s="19">
        <f>IF(OR($J25="",$J25=0,$FG25=""),0,$J25)</f>
        <v>0</v>
      </c>
      <c r="FI25" s="238" t="str">
        <f>IF(FG25=0,"",FF25)</f>
        <v/>
      </c>
      <c r="FJ25" s="701" t="str">
        <f t="shared" ref="FJ25:FJ49" si="100">IF(OR(FI25=0,COUNTIF($FG$25:$FG$49,FI25)=0),"",MATCH(FI25,$FG$25:$FG$49,0))</f>
        <v/>
      </c>
      <c r="FK25" s="66">
        <f t="shared" ref="FK25:FK49" si="101">IF(FJ25="",0,LOOKUP(FJ25,$EU$25:$EU$49,$FH$25:$FH$49))</f>
        <v>0</v>
      </c>
      <c r="FL25" s="701" t="str">
        <f t="shared" ref="FL25:FL49" si="102">IF(OR(FI25="",COUNTIF($FG$25:$FG$49,FI25)=0),"",MATCH(FI25,$FG$25:$FG$49,0))</f>
        <v/>
      </c>
      <c r="FM25" s="146" t="str">
        <f t="shared" ref="FM25:FM49" si="103">IF(FL25="","",LOOKUP(FL25,$EU$25:$EU$49,$FF$25:$FF$49))</f>
        <v/>
      </c>
      <c r="FN25" s="701" t="str">
        <f t="shared" ref="FN25:FN49" si="104">IF(OR(FM25=0,COUNTIF($FG$25:$FG$49,FM25)=0),"",MATCH(FM25,$FG$25:$FG$49,0))</f>
        <v/>
      </c>
      <c r="FO25" s="66">
        <f t="shared" ref="FO25:FO49" si="105">IF(FN25="",0,LOOKUP(FN25,$EU$25:$EU$49,$FH$25:$FH$49))</f>
        <v>0</v>
      </c>
      <c r="FP25" s="701" t="str">
        <f t="shared" ref="FP25:FP49" si="106">IF(OR(FM25="",COUNTIF($FG$25:$FG$49,FM25)=0),"",MATCH(FM25,$FG$25:$FG$49,0))</f>
        <v/>
      </c>
      <c r="FQ25" s="146" t="str">
        <f t="shared" ref="FQ25:FQ49" si="107">IF(FP25="","",LOOKUP(FP25,$EU$25:$EU$49,$FF$25:$FF$49))</f>
        <v/>
      </c>
      <c r="FR25" s="701" t="str">
        <f t="shared" ref="FR25:FR49" si="108">IF(OR(FQ25=0,COUNTIF($FG$25:$FG$49,FQ25)=0),"",MATCH(FQ25,$FG$25:$FG$49,0))</f>
        <v/>
      </c>
      <c r="FS25" s="66">
        <f t="shared" ref="FS25:FS49" si="109">IF(FR25="",0,LOOKUP(FR25,$EU$25:$EU$49,$FH$25:$FH$49))</f>
        <v>0</v>
      </c>
      <c r="FT25" s="701" t="str">
        <f t="shared" ref="FT25:FT49" si="110">IF(OR(FQ25="",COUNTIF($FG$25:$FG$49,FQ25)=0),"",MATCH(FQ25,$FG$25:$FG$49,0))</f>
        <v/>
      </c>
      <c r="FU25" s="146" t="str">
        <f t="shared" ref="FU25:FU49" si="111">IF(FT25="","",LOOKUP(FT25,$EU$25:$EU$49,$FF$25:$FF$49))</f>
        <v/>
      </c>
      <c r="FV25" s="701" t="str">
        <f t="shared" ref="FV25:FV49" si="112">IF(OR(FU25=0,COUNTIF($FG$25:$FG$49,FU25)=0),"",MATCH(FU25,$FG$25:$FG$49,0))</f>
        <v/>
      </c>
      <c r="FW25" s="66">
        <f t="shared" ref="FW25:FW49" si="113">IF(FV25="",0,LOOKUP(FV25,$EU$25:$EU$49,$FH$25:$FH$49))</f>
        <v>0</v>
      </c>
      <c r="FX25" s="701" t="str">
        <f t="shared" ref="FX25:FX49" si="114">IF(OR(FU25="",COUNTIF($FG$25:$FG$49,FU25)=0),"",MATCH(FU25,$FG$25:$FG$49,0))</f>
        <v/>
      </c>
      <c r="FY25" s="146" t="str">
        <f t="shared" ref="FY25:FY49" si="115">IF(FX25="","",LOOKUP(FX25,$EU$25:$EU$49,$FF$25:$FF$49))</f>
        <v/>
      </c>
      <c r="FZ25" s="701" t="str">
        <f t="shared" ref="FZ25:FZ49" si="116">IF(OR(FY25=0,COUNTIF($FG$25:$FG$49,FY25)=0),"",MATCH(FY25,$FG$25:$FG$49,0))</f>
        <v/>
      </c>
      <c r="GA25" s="66">
        <f t="shared" ref="GA25:GA49" si="117">IF(FZ25="",0,LOOKUP(FZ25,$EU$25:$EU$49,$FH$25:$FH$49))</f>
        <v>0</v>
      </c>
      <c r="GB25" s="701" t="str">
        <f t="shared" ref="GB25:GB49" si="118">IF(OR(FY25="",COUNTIF($FG$25:$FG$49,FY25)=0),"",MATCH(FY25,$FG$25:$FG$49,0))</f>
        <v/>
      </c>
      <c r="GC25" s="146" t="str">
        <f t="shared" ref="GC25:GC49" si="119">IF(GB25="","",LOOKUP(GB25,$EU$25:$EU$49,$FF$25:$FF$49))</f>
        <v/>
      </c>
      <c r="GD25" s="701" t="str">
        <f t="shared" ref="GD25:GD49" si="120">IF(OR(GC25=0,COUNTIF($FG$25:$FG$49,GC25)=0),"",MATCH(GC25,$FG$25:$FG$49,0))</f>
        <v/>
      </c>
      <c r="GE25" s="66">
        <f t="shared" ref="GE25:GE49" si="121">IF(GD25="",0,LOOKUP(GD25,$EU$25:$EU$49,$FH$25:$FH$49))</f>
        <v>0</v>
      </c>
      <c r="GF25" s="701" t="str">
        <f t="shared" ref="GF25:GF49" si="122">IF(OR(GC25="",COUNTIF($FG$25:$FG$49,GC25)=0),"",MATCH(GC25,$FG$25:$FG$49,0))</f>
        <v/>
      </c>
      <c r="GG25" s="146" t="str">
        <f t="shared" ref="GG25:GG49" si="123">IF(GF25="","",LOOKUP(GF25,$EU$25:$EU$49,$FF$25:$FF$49))</f>
        <v/>
      </c>
      <c r="GH25" s="701" t="str">
        <f t="shared" ref="GH25:GH49" si="124">IF(OR(GG25=0,COUNTIF($FG$25:$FG$49,GG25)=0),"",MATCH(GG25,$FG$25:$FG$49,0))</f>
        <v/>
      </c>
      <c r="GI25" s="66">
        <f t="shared" ref="GI25:GI49" si="125">IF(GH25="",0,LOOKUP(GH25,$EU$25:$EU$49,$FH$25:$FH$49))</f>
        <v>0</v>
      </c>
      <c r="GJ25" s="701" t="str">
        <f t="shared" ref="GJ25:GJ49" si="126">IF(OR(GG25="",COUNTIF($FG$25:$FG$49,GG25)=0),"",MATCH(GG25,$FG$25:$FG$49,0))</f>
        <v/>
      </c>
      <c r="GK25" s="146" t="str">
        <f t="shared" ref="GK25:GK49" si="127">IF(GJ25="","",LOOKUP(GJ25,$EU$25:$EU$49,$FF$25:$FF$49))</f>
        <v/>
      </c>
      <c r="GL25" s="701" t="str">
        <f t="shared" ref="GL25:GL49" si="128">IF(OR(GK25=0,COUNTIF($FG$25:$FG$49,GK25)=0),"",MATCH(GK25,$FG$25:$FG$49,0))</f>
        <v/>
      </c>
      <c r="GM25" s="66">
        <f t="shared" ref="GM25:GM49" si="129">IF(GL25="",0,LOOKUP(GL25,$EU$25:$EU$49,$FH$25:$FH$49))</f>
        <v>0</v>
      </c>
      <c r="GN25" s="701" t="str">
        <f t="shared" ref="GN25:GN49" si="130">IF(OR(GK25="",COUNTIF($FG$25:$FG$49,GK25)=0),"",MATCH(GK25,$FG$25:$FG$49,0))</f>
        <v/>
      </c>
      <c r="GO25" s="146" t="str">
        <f t="shared" ref="GO25:GO49" si="131">IF(GN25="","",LOOKUP(GN25,$EU$25:$EU$49,$FF$25:$FF$49))</f>
        <v/>
      </c>
      <c r="GP25" s="701" t="str">
        <f t="shared" ref="GP25:GP49" si="132">IF(OR(GO25=0,COUNTIF($FG$25:$FG$49,GO25)=0),"",MATCH(GO25,$FG$25:$FG$49,0))</f>
        <v/>
      </c>
      <c r="GQ25" s="66">
        <f t="shared" ref="GQ25:GQ49" si="133">IF(GP25="",0,LOOKUP(GP25,$EU$25:$EU$49,$FH$25:$FH$49))</f>
        <v>0</v>
      </c>
      <c r="GR25" s="701" t="str">
        <f t="shared" ref="GR25:GR49" si="134">IF(OR(GO25="",COUNTIF($FG$25:$FG$49,GO25)=0),"",MATCH(GO25,$FG$25:$FG$49,0))</f>
        <v/>
      </c>
      <c r="GS25" s="146" t="str">
        <f t="shared" ref="GS25:GS49" si="135">IF(GR25="","",LOOKUP(GR25,$EU$25:$EU$49,$FF$25:$FF$49))</f>
        <v/>
      </c>
      <c r="GT25" s="701" t="str">
        <f t="shared" ref="GT25:GT49" si="136">IF(OR(GS25=0,COUNTIF($FG$25:$FG$49,GS25)=0),"",MATCH(GS25,$FG$25:$FG$49,0))</f>
        <v/>
      </c>
      <c r="GU25" s="66">
        <f t="shared" ref="GU25:GU49" si="137">IF(GT25="",0,LOOKUP(GT25,$EU$25:$EU$49,$FH$25:$FH$49))</f>
        <v>0</v>
      </c>
      <c r="GV25" s="701" t="str">
        <f t="shared" ref="GV25:GV49" si="138">IF(OR(GS25="",COUNTIF($FG$25:$FG$49,GS25)=0),"",MATCH(GS25,$FG$25:$FG$49,0))</f>
        <v/>
      </c>
      <c r="GW25" s="146" t="str">
        <f t="shared" ref="GW25:GW49" si="139">IF(GV25="","",LOOKUP(GV25,$EU$25:$EU$49,$FF$25:$FF$49))</f>
        <v/>
      </c>
      <c r="GX25" s="701" t="str">
        <f t="shared" ref="GX25:GX49" si="140">IF(OR(GW25=0,COUNTIF($FG$25:$FG$49,GW25)=0),"",MATCH(GW25,$FG$25:$FG$49,0))</f>
        <v/>
      </c>
      <c r="GY25" s="66">
        <f t="shared" ref="GY25:GY49" si="141">IF(GX25="",0,LOOKUP(GX25,$EU$25:$EU$49,$FH$25:$FH$49))</f>
        <v>0</v>
      </c>
      <c r="GZ25" s="701" t="str">
        <f t="shared" ref="GZ25:GZ49" si="142">IF(OR(GW25="",COUNTIF($FG$25:$FG$49,GW25)=0),"",MATCH(GW25,$FG$25:$FG$49,0))</f>
        <v/>
      </c>
      <c r="HA25" s="146" t="str">
        <f t="shared" ref="HA25:HA49" si="143">IF(GZ25="","",LOOKUP(GZ25,$EU$25:$EU$49,$FF$25:$FF$49))</f>
        <v/>
      </c>
      <c r="HB25" s="701" t="str">
        <f t="shared" ref="HB25:HB49" si="144">IF(OR(HA25=0,COUNTIF($FG$25:$FG$49,HA25)=0),"",MATCH(HA25,$FG$25:$FG$49,0))</f>
        <v/>
      </c>
      <c r="HC25" s="66">
        <f t="shared" ref="HC25:HC49" si="145">IF(HB25="",0,LOOKUP(HB25,$EU$25:$EU$49,$FH$25:$FH$49))</f>
        <v>0</v>
      </c>
      <c r="HD25" s="701" t="str">
        <f t="shared" ref="HD25:HD49" si="146">IF(OR(HA25="",COUNTIF($FG$25:$FG$49,HA25)=0),"",MATCH(HA25,$FG$25:$FG$49,0))</f>
        <v/>
      </c>
      <c r="HE25" s="146" t="str">
        <f t="shared" ref="HE25:HE49" si="147">IF(HD25="","",LOOKUP(HD25,$EU$25:$EU$49,$FF$25:$FF$49))</f>
        <v/>
      </c>
      <c r="HF25" s="701" t="str">
        <f t="shared" ref="HF25:HF49" si="148">IF(OR(HE25=0,COUNTIF($FG$25:$FG$49,HE25)=0),"",MATCH(HE25,$FG$25:$FG$49,0))</f>
        <v/>
      </c>
      <c r="HG25" s="66">
        <f t="shared" ref="HG25:HG49" si="149">IF(HF25="",0,LOOKUP(HF25,$EU$25:$EU$49,$FH$25:$FH$49))</f>
        <v>0</v>
      </c>
      <c r="HH25" s="701" t="str">
        <f t="shared" ref="HH25:HH49" si="150">IF(OR(HE25="",COUNTIF($FG$25:$FG$49,HE25)=0),"",MATCH(HE25,$FG$25:$FG$49,0))</f>
        <v/>
      </c>
      <c r="HI25" s="146" t="str">
        <f t="shared" ref="HI25:HI49" si="151">IF(HH25="","",LOOKUP(HH25,$EU$25:$EU$49,$FF$25:$FF$49))</f>
        <v/>
      </c>
      <c r="HJ25" s="701" t="str">
        <f t="shared" ref="HJ25:HJ49" si="152">IF(OR(HI25=0,COUNTIF($FG$25:$FG$49,HI25)=0),"",MATCH(HI25,$FG$25:$FG$49,0))</f>
        <v/>
      </c>
      <c r="HK25" s="66">
        <f t="shared" ref="HK25:HK49" si="153">IF(HJ25="",0,LOOKUP(HJ25,$EU$25:$EU$49,$FH$25:$FH$49))</f>
        <v>0</v>
      </c>
      <c r="HL25" s="701" t="str">
        <f t="shared" ref="HL25:HL49" si="154">IF(OR(HI25="",COUNTIF($FG$25:$FG$49,HI25)=0),"",MATCH(HI25,$FG$25:$FG$49,0))</f>
        <v/>
      </c>
      <c r="HM25" s="146" t="str">
        <f t="shared" ref="HM25:HM49" si="155">IF(HL25="","",LOOKUP(HL25,$EU$25:$EU$49,$FF$25:$FF$49))</f>
        <v/>
      </c>
      <c r="HN25" s="701" t="str">
        <f t="shared" ref="HN25:HN49" si="156">IF(OR(HM25=0,COUNTIF($FG$25:$FG$49,HM25)=0),"",MATCH(HM25,$FG$25:$FG$49,0))</f>
        <v/>
      </c>
      <c r="HO25" s="66">
        <f t="shared" ref="HO25:HO49" si="157">IF(HN25="",0,LOOKUP(HN25,$EU$25:$EU$49,$FH$25:$FH$49))</f>
        <v>0</v>
      </c>
      <c r="HP25" s="701" t="str">
        <f t="shared" ref="HP25:HP49" si="158">IF(OR(HM25="",COUNTIF($FG$25:$FG$49,HM25)=0),"",MATCH(HM25,$FG$25:$FG$49,0))</f>
        <v/>
      </c>
      <c r="HQ25" s="146" t="str">
        <f t="shared" ref="HQ25:HQ49" si="159">IF(HP25="","",LOOKUP(HP25,$EU$25:$EU$49,$FF$25:$FF$49))</f>
        <v/>
      </c>
      <c r="HR25" s="701" t="str">
        <f t="shared" ref="HR25:HR49" si="160">IF(OR(HQ25=0,COUNTIF($FG$25:$FG$49,HQ25)=0),"",MATCH(HQ25,$FG$25:$FG$49,0))</f>
        <v/>
      </c>
      <c r="HS25" s="66">
        <f t="shared" ref="HS25:HS49" si="161">IF(HR25="",0,LOOKUP(HR25,$EU$25:$EU$49,$FH$25:$FH$49))</f>
        <v>0</v>
      </c>
      <c r="HT25" s="701" t="str">
        <f t="shared" ref="HT25:HT49" si="162">IF(OR(HQ25="",COUNTIF($FG$25:$FG$49,HQ25)=0),"",MATCH(HQ25,$FG$25:$FG$49,0))</f>
        <v/>
      </c>
      <c r="HU25" s="146" t="str">
        <f t="shared" ref="HU25:HU49" si="163">IF(HT25="","",LOOKUP(HT25,$EU$25:$EU$49,$FF$25:$FF$49))</f>
        <v/>
      </c>
      <c r="HV25" s="701" t="str">
        <f t="shared" ref="HV25:HV49" si="164">IF(OR(HU25=0,COUNTIF($FG$25:$FG$49,HU25)=0),"",MATCH(HU25,$FG$25:$FG$49,0))</f>
        <v/>
      </c>
      <c r="HW25" s="66">
        <f t="shared" ref="HW25:HW49" si="165">IF(HV25="",0,LOOKUP(HV25,$EU$25:$EU$49,$FH$25:$FH$49))</f>
        <v>0</v>
      </c>
      <c r="HX25" s="701" t="str">
        <f t="shared" ref="HX25:HX49" si="166">IF(OR(HU25="",COUNTIF($FG$25:$FG$49,HU25)=0),"",MATCH(HU25,$FG$25:$FG$49,0))</f>
        <v/>
      </c>
      <c r="HY25" s="146" t="str">
        <f t="shared" ref="HY25:HY49" si="167">IF(HX25="","",LOOKUP(HX25,$EU$25:$EU$49,$FF$25:$FF$49))</f>
        <v/>
      </c>
      <c r="HZ25" s="701" t="str">
        <f t="shared" ref="HZ25:HZ49" si="168">IF(OR(HY25=0,COUNTIF($FG$25:$FG$49,HY25)=0),"",MATCH(HY25,$FG$25:$FG$49,0))</f>
        <v/>
      </c>
      <c r="IA25" s="66">
        <f t="shared" ref="IA25:IA49" si="169">IF(HZ25="",0,LOOKUP(HZ25,$EU$25:$EU$49,$FH$25:$FH$49))</f>
        <v>0</v>
      </c>
      <c r="IB25" s="701" t="str">
        <f t="shared" ref="IB25:IB49" si="170">IF(OR(HY25="",COUNTIF($FG$25:$FG$49,HY25)=0),"",MATCH(HY25,$FG$25:$FG$49,0))</f>
        <v/>
      </c>
      <c r="IC25" s="146" t="str">
        <f t="shared" ref="IC25:IC49" si="171">IF(IB25="","",LOOKUP(IB25,$EU$25:$EU$49,$FF$25:$FF$49))</f>
        <v/>
      </c>
      <c r="ID25" s="701" t="str">
        <f t="shared" ref="ID25:ID49" si="172">IF(OR(IC25=0,COUNTIF($FG$25:$FG$49,IC25)=0),"",MATCH(IC25,$FG$25:$FG$49,0))</f>
        <v/>
      </c>
      <c r="IE25" s="66">
        <f t="shared" ref="IE25:IE49" si="173">IF(ID25="",0,LOOKUP(ID25,$EU$25:$EU$49,$FH$25:$FH$49))</f>
        <v>0</v>
      </c>
      <c r="IF25" s="701" t="str">
        <f t="shared" ref="IF25:IF49" si="174">IF(OR(IC25="",COUNTIF($FG$25:$FG$49,IC25)=0),"",MATCH(IC25,$FG$25:$FG$49,0))</f>
        <v/>
      </c>
      <c r="IG25" s="146" t="str">
        <f t="shared" ref="IG25:IG49" si="175">IF(IF25="","",LOOKUP(IF25,$EU$25:$EU$49,$FF$25:$FF$49))</f>
        <v/>
      </c>
      <c r="IH25" s="701" t="str">
        <f t="shared" ref="IH25:IH49" si="176">IF(OR(IG25=0,COUNTIF($FG$25:$FG$49,IG25)=0),"",MATCH(IG25,$FG$25:$FG$49,0))</f>
        <v/>
      </c>
      <c r="II25" s="66">
        <f t="shared" ref="II25:II49" si="177">IF(IH25="",0,LOOKUP(IH25,$EU$25:$EU$49,$FH$25:$FH$49))</f>
        <v>0</v>
      </c>
      <c r="IJ25" s="701" t="str">
        <f t="shared" ref="IJ25:IJ49" si="178">IF(OR(IG25="",COUNTIF($FG$25:$FG$49,IG25)=0),"",MATCH(IG25,$FG$25:$FG$49,0))</f>
        <v/>
      </c>
      <c r="IK25" s="146" t="str">
        <f t="shared" ref="IK25:IK49" si="179">IF(IJ25="","",LOOKUP(IJ25,$EU$25:$EU$49,$FF$25:$FF$49))</f>
        <v/>
      </c>
      <c r="IL25" s="701" t="str">
        <f t="shared" ref="IL25:IL49" si="180">IF(OR(IK25=0,COUNTIF($FG$25:$FG$49,IK25)=0),"",MATCH(IK25,$FG$25:$FG$49,0))</f>
        <v/>
      </c>
      <c r="IM25" s="66">
        <f t="shared" ref="IM25:IM49" si="181">IF(IL25="",0,LOOKUP(IL25,$EU$25:$EU$49,$FH$25:$FH$49))</f>
        <v>0</v>
      </c>
      <c r="IN25" s="701" t="str">
        <f t="shared" ref="IN25:IN49" si="182">IF(OR(IK25="",COUNTIF($FG$25:$FG$49,IK25)=0),"",MATCH(IK25,$FG$25:$FG$49,0))</f>
        <v/>
      </c>
      <c r="IO25" s="146" t="str">
        <f t="shared" ref="IO25:IO49" si="183">IF(IN25="","",LOOKUP(IN25,$EU$25:$EU$49,$FF$25:$FF$49))</f>
        <v/>
      </c>
      <c r="IP25" s="701" t="str">
        <f t="shared" ref="IP25:IP49" si="184">IF(OR(IO25=0,COUNTIF($FG$25:$FG$49,IO25)=0),"",MATCH(IO25,$FG$25:$FG$49,0))</f>
        <v/>
      </c>
      <c r="IQ25" s="66">
        <f t="shared" ref="IQ25:IQ49" si="185">IF(IP25="",0,LOOKUP(IP25,$EU$25:$EU$49,$FH$25:$FH$49))</f>
        <v>0</v>
      </c>
      <c r="IR25" s="701" t="str">
        <f t="shared" ref="IR25:IR49" si="186">IF(OR(IO25="",COUNTIF($FG$25:$FG$49,IO25)=0),"",MATCH(IO25,$FG$25:$FG$49,0))</f>
        <v/>
      </c>
      <c r="IS25" s="146" t="str">
        <f t="shared" ref="IS25:IS49" si="187">IF(IR25="","",LOOKUP(IR25,$EU$25:$EU$49,$FF$25:$FF$49))</f>
        <v/>
      </c>
      <c r="IT25" s="701" t="str">
        <f t="shared" ref="IT25:IT49" si="188">IF(OR(IS25=0,COUNTIF($FG$25:$FG$49,IS25)=0),"",MATCH(IS25,$FG$25:$FG$49,0))</f>
        <v/>
      </c>
      <c r="IU25" s="66">
        <f t="shared" ref="IU25:IU49" si="189">IF(IT25="",0,LOOKUP(IT25,$EU$25:$EU$49,$FH$25:$FH$49))</f>
        <v>0</v>
      </c>
      <c r="IV25" s="701" t="str">
        <f t="shared" ref="IV25:IV49" si="190">IF(OR(IS25="",COUNTIF($FG$25:$FG$49,IS25)=0),"",MATCH(IS25,$FG$25:$FG$49,0))</f>
        <v/>
      </c>
      <c r="IW25" s="146" t="str">
        <f t="shared" ref="IW25:IW49" si="191">IF(IV25="","",LOOKUP(IV25,$EU$25:$EU$49,$FF$25:$FF$49))</f>
        <v/>
      </c>
      <c r="IX25" s="701" t="str">
        <f t="shared" ref="IX25:IX49" si="192">IF(OR(IW25=0,COUNTIF($FG$25:$FG$49,IW25)=0),"",MATCH(IW25,$FG$25:$FG$49,0))</f>
        <v/>
      </c>
      <c r="IY25" s="66">
        <f t="shared" ref="IY25:IY49" si="193">IF(IX25="",0,LOOKUP(IX25,$EU$25:$EU$49,$FH$25:$FH$49))</f>
        <v>0</v>
      </c>
    </row>
    <row r="26" spans="1:262" s="3" customFormat="1" ht="18" customHeight="1" thickTop="1" thickBot="1" x14ac:dyDescent="0.35">
      <c r="A26" s="1468" t="str">
        <f t="shared" ref="A26:A49" si="194">IF(OR(F26="",G26="",AND(CZ55="ss1",B26&lt;&gt;"c",B26&lt;&gt;"nc1")),"",IF(CZ55="","",CZ55))</f>
        <v/>
      </c>
      <c r="B26" s="780" t="str">
        <f t="shared" si="6"/>
        <v/>
      </c>
      <c r="D26" s="525" t="str">
        <f>IF(AND(H26&lt;=$AU$7,OR(LEN(F26)&gt;1,LEN(G26)&gt;1),OR(LEFT(F26,1)="s",LEFT(G26,1)="s"),OR(RIGHT(G26,1)="0",RIGHT(G26,1)="1",RIGHT(G26,1)="2",RIGHT(G26,1)="3",RIGHT(G26,1)="4",RIGHT(G26,1)="5",RIGHT(G26,1)="6",RIGHT(G26,1)="7",RIGHT(G26,1)="8",RIGHT(G26,1)="9",RIGHT(F26,1)="0",RIGHT(F26,1)="1",RIGHT(F26,1)="2",RIGHT(F26,1)="3",RIGHT(F26,1)="4",RIGHT(F26,1)="5",RIGHT(F26,1)="6",RIGHT(F26,1)="7",RIGHT(F26,1)="8",RIGHT(F26,1)="9")),"s","")</f>
        <v/>
      </c>
      <c r="E26" s="522" t="str">
        <f>IF(DO55="","",SUM($DO$54:DO55))</f>
        <v/>
      </c>
      <c r="F26" s="843"/>
      <c r="G26" s="844"/>
      <c r="H26" s="1231"/>
      <c r="I26" s="1228"/>
      <c r="J26" s="1229"/>
      <c r="K26" s="1230"/>
      <c r="L26" s="1270" t="str">
        <f>IF('Quadro 2'!G14="","",'Quadro 2'!G14)</f>
        <v/>
      </c>
      <c r="M26" s="1270" t="str">
        <f t="shared" ref="M26:M49" si="195">IF(J26="","",IF(L26="",ABS(J26)*(1+$P$14),ABS(J26)+L26))</f>
        <v/>
      </c>
      <c r="N26" s="1459" t="str">
        <f t="shared" ref="N26:N49" si="196">IF(OR(F26="",G26="",$P$7="",H26="",M26="",$DJ$52=""),"",IF(H26&gt;$AU$7,"",IF(AND(H26&lt;$AU$7,D26="s"),"",IF(AND(H26&lt;=$AU$7,OR(B26="nc",B26="nc1",B26="ncsr")),"",IF(AND(AD26&gt;0,H26=$AU$7,OR(A26="ss1",D26&lt;&gt;"s")),(R26/$B$17)/SQRT(AD26*(1/100)*(1/$B$18)),IF(AND(AC26&gt;0,H26=$AU$7,D26="s"),(R26/$B$17)/SQRT(AC26*(1/100)*(1/$B$18)),""))))))</f>
        <v/>
      </c>
      <c r="O26" s="1480" t="str">
        <f t="shared" ref="O26:O49" si="197">IFERROR(IF(OR(F26="",G26="",H26="",$AU$8="",$AU$9="",$DJ$52=""),"",IF(AND($EV$53&lt;&gt;"",D26&lt;&gt;"s",B26="nc",CEILING(H26/$AU$7,1)&lt;=$BB$115),VLOOKUP(CEILING(H26/$AU$7,1),$BB$116:$BC$124,2,FALSE)*CZ26,"")),"")</f>
        <v/>
      </c>
      <c r="P26" s="1271" t="str">
        <f t="shared" ref="P26:P49" si="198">IFERROR(IF(OR(H26="",M26="",$AU$8="",$DJ$52="",$N$24=0),"",IF(AND(H26&lt;=$AU$7,D26="s"),$P$11,$N$24)),"")</f>
        <v/>
      </c>
      <c r="Q26" s="1489" t="str">
        <f t="shared" ref="Q26:Q49" si="199">IFERROR(IF(OR(F26="",G26="",H26="",H26=0,M26="",$AU$8="",$AU$9="",$DJ$52="",$A$24=0),"",IF(AND(H26=$N$21,D26="s",DO26="c"),$AU$8,IF(AND(D26="s",DO26="c",H26&gt;=$AU$85,H26&lt;=$AU$84,H26&lt;=$AU$7),LOOKUP(H26,$AU$85:$AU$93,$AW$85:$AW$93),IF(AND(D26="s",$AJ$6&lt;&gt;"x",DO26="nc1",$AZ$84&lt;&gt;"",$AZ$84&lt;&gt;0,H26&lt;=$AZ$84),IFERROR(VLOOKUP(H26,$AY$85:$AZ$93,2,FALSE)*CZ26,""),IF(AND(D26="s",OR(DO26="nc",DO26="nc1",DO26="ncsr"),H26&gt;=$AU$85,H26&lt;=$AU$84,H26&lt;=$AU$7),LOOKUP(H26,$AU$85:$AU$93,$AW$85:$AW$93)*CZ26,IF(OR(AND(H26&lt;$AU$7,D26="s"),AND($BF55=1,$AT$116=""),AND($BF55=1,H26&lt;$AU$6)),$B$17*AU26*$P26*SQRT(AD26*(1/$B$18)*(1/100)),O26)))))),"")</f>
        <v/>
      </c>
      <c r="R26" s="1426" t="str">
        <f t="shared" si="7"/>
        <v/>
      </c>
      <c r="S26" s="848" t="str">
        <f t="shared" si="8"/>
        <v/>
      </c>
      <c r="T26" s="58" t="str">
        <f t="shared" si="9"/>
        <v/>
      </c>
      <c r="U26" s="1133"/>
      <c r="V26" s="143" t="str">
        <f t="shared" ref="V26:V49" si="200">IF(E26="","",IF($U26&lt;&gt;"",$U26,IF(AND($A$5&gt;=1,$A$5&lt;=7,MAX($CW26:$CY26)=0),T26,IF(AND($A$5&gt;=1,$A$5&lt;=7),MAX($CW26:$CY26),IF(AND($A$5&gt;=11,$A$5&lt;=18),MAX($CT56:$CV56),IF($A$5=8,$CT26,IF($A$5=9,$CU26,IF($A$5=10,$CV26,T26))))))))</f>
        <v/>
      </c>
      <c r="W26" s="849" t="str">
        <f>IF(OR(H26="",V26="",V26=0),"",IF($V26&gt;'Quadro 1'!$G$23,'Quadro 1'!$G$23,IF($V26&lt;'Quadro 1'!$G$10,'Quadro 1'!$G$10,MIN($X26,$Y26))))</f>
        <v/>
      </c>
      <c r="X26" s="850" t="str">
        <f>IF($V26&lt;='Quadro 1'!$G$10,'Quadro 1'!$G$10,IF($V26&lt;='Quadro 1'!$G$11,'Quadro 1'!$G$11,IF($V26&lt;='Quadro 1'!$G$12,'Quadro 1'!$G$12,IF($V26&lt;='Quadro 1'!$G$13,'Quadro 1'!$G$13,IF($V26&lt;='Quadro 1'!$G$14,'Quadro 1'!$G$14,IF($V26&lt;='Quadro 1'!$G$15,'Quadro 1'!$G$15,IF($V26&lt;='Quadro 1'!$G$16,'Quadro 1'!$G$16,"")))))))</f>
        <v/>
      </c>
      <c r="Y26" s="851" t="str">
        <f>IF(OR(V26="",V26=0),"",IF($V26&lt;='Quadro 1'!$G$17,'Quadro 1'!$G$17,IF($V26&lt;='Quadro 1'!$G$18,'Quadro 1'!$G$18,IF($V26&lt;='Quadro 1'!$G$19,'Quadro 1'!$G$19,IF($V26&lt;='Quadro 1'!$G$20,'Quadro 1'!$G$20,IF($V26&lt;='Quadro 1'!$G$21,'Quadro 1'!$G$21,IF($V26&lt;='Quadro 1'!$G$22,'Quadro 1'!$G$22,IF($V26&lt;='Quadro 1'!$G$23,'Quadro 1'!$G$23,'Quadro 1'!$G$23))))))))</f>
        <v/>
      </c>
      <c r="Z26" s="852" t="str">
        <f>IF(W26="","",LOOKUP(W26,'Quadro 1'!$G$9:$G$23,'Quadro 1'!$H$9:$H$23))</f>
        <v/>
      </c>
      <c r="AA26" s="1417" t="str">
        <f>IF(W26="","",LOOKUP(W26,'Quadro 1'!$G$9:$G$23,'Quadro 1'!$D$9:$D$23))</f>
        <v/>
      </c>
      <c r="AB26" s="853" t="str">
        <f>IF(W26="","",LOOKUP(W26,'Quadro 1'!$G$9:$G$23,'Quadro 1'!$E$9:$E$23))</f>
        <v/>
      </c>
      <c r="AC26" s="1272" t="str">
        <f t="shared" ref="AC26:AC49" si="201">IFERROR(IF(OR($G26="",$DJ$52=""),"",IF(AND(BF26="",AW26&lt;&gt;""),AW26,IF(AND(BF26="",AW26=""),AT55,BF26))),"")</f>
        <v/>
      </c>
      <c r="AD26" s="1274" t="str">
        <f t="shared" si="10"/>
        <v/>
      </c>
      <c r="AE26" s="1392" t="str">
        <f t="shared" ref="AE26:AE49" si="202">IFERROR(IF(OR($P$16="",R26="",AN26="",W26=""),"",IF($M$15="",$B$18*$AU$19*61.7*100000*((R26/$B$17)^1.85/($P$16^1.85*W26^4.87)),$B$18*$AU$19*((4*$P$16*((AN26^7)/(W26/1000))^(1/4))/(W26/1000)))),"")</f>
        <v/>
      </c>
      <c r="AF26" s="1395" t="str">
        <f t="shared" ref="AF26:AF49" si="203">IF(OR(M26="",AE26=""),"",ABS(M26*AE26))</f>
        <v/>
      </c>
      <c r="AG26" s="1396" t="str">
        <f t="shared" ref="AG26:AG49" si="204">IF(OR($G26="",H26=0,$K26=""),"",K26*$AU$19*$B$18)</f>
        <v/>
      </c>
      <c r="AH26" s="1398" t="str">
        <f t="shared" si="11"/>
        <v/>
      </c>
      <c r="AI26" s="1490" t="str">
        <f>IF(OR(AH26="",$AU$8="",$DJ$52=""),"",IF(OR($D26="s",H26&lt;$AU$7,B26="nc",B26="nc1",B26="ncsr"),"",FD113))</f>
        <v/>
      </c>
      <c r="AJ26" s="1502" t="str">
        <f t="shared" ref="AJ26:AJ29" si="205">IF(OR($AU$8="",AE26=""),"",IF(BE26=0,"Redimensionar",IF(OR($D26="s",H26&lt;$AU$7,B26="nc",B26="nc1",B26="nc2"),"Não aplicável",IF(AI26&lt;$AM$23,"Conforme","Redimensionar"))))</f>
        <v/>
      </c>
      <c r="AK26" s="1503"/>
      <c r="AL26" s="1503"/>
      <c r="AM26" s="1504"/>
      <c r="AN26" s="1275" t="str">
        <f t="shared" si="12"/>
        <v/>
      </c>
      <c r="AO26" s="1502" t="str">
        <f t="shared" si="13"/>
        <v/>
      </c>
      <c r="AP26" s="1507"/>
      <c r="AQ26" s="1504"/>
      <c r="AR26" s="846"/>
      <c r="AS26" s="1258">
        <f t="shared" ref="AS26:AS49" si="206">IF(AT26="",0,IF(R26&lt;AT26,1,0))</f>
        <v>0</v>
      </c>
      <c r="AT26" s="1256">
        <f t="shared" ref="AT26:AT49" si="207">IF(OR(H26="",R26="",R26=0),0,H26*$AU$8)</f>
        <v>0</v>
      </c>
      <c r="AU26" s="1381">
        <f t="shared" ref="AU26:AU36" si="208">IF(AT131="",AU131,IF(OR(AT131&lt;&gt;0,AT131&lt;&gt;1),AT131,AU131))</f>
        <v>1</v>
      </c>
      <c r="AV26" s="157" t="str">
        <f t="shared" si="14"/>
        <v/>
      </c>
      <c r="AW26" s="87" t="str">
        <f>IF(BF26&lt;&gt;"",BF26,IF(MAX(AX26,BB26,BC26)=0,"",MAX(AX26,BB26,BC26)))</f>
        <v/>
      </c>
      <c r="AX26" s="87" t="str">
        <f t="shared" si="15"/>
        <v/>
      </c>
      <c r="AY26" s="1341" t="str">
        <f t="shared" ref="AY26:AY49" si="209">IF(AND(A26="",B26=""),"",IF(AND(OR(A26&lt;&gt;"",B26&lt;&gt;""),OR(F26="",G26="",H26="",I26="",J26="")),1,IF(OR($A$24&lt;$AU$7,AND(MAX($H$25:$H$49)&lt;$P$8,MAX($H$25:$H$49)&lt;$AU$6)),1,IF(AND(AH26&lt;&gt;"",OR(AC26="",AD26="")),50,""))))</f>
        <v/>
      </c>
      <c r="AZ26" s="701">
        <f t="shared" ref="AZ26:AZ49" si="210">IF(AND(FF26=$EV$53,B26="c"),$BA$23,IF(AND(FF26=$EV$53,B26="nc"),$BA$23,BD26))</f>
        <v>1</v>
      </c>
      <c r="BA26" s="1338" t="str">
        <f t="shared" ref="BA26:BA49" si="211">IF(AND(FF26=$EV$53,B26="c"),BD26,IF(AND(FF26=$EV$53,B26="nc"),"",""))</f>
        <v/>
      </c>
      <c r="BB26" s="1335" t="str">
        <f t="shared" ref="BB26:BB49" si="212">IF(BD26="","",LOOKUP(BD26,$DN$25:$DN$49,$BF$25:$BF$49))</f>
        <v/>
      </c>
      <c r="BC26" s="86" t="str">
        <f t="shared" ref="BC26:BC49" si="213">IF($BC$23="","",IF(FF26=$BC$24,LOOKUP($BC$23,$DN$25:$DN$49,$BF$25:$BF$49),""))</f>
        <v/>
      </c>
      <c r="BD26" s="701">
        <f t="shared" ref="BD26:BD49" si="214">IF(OR($FF26="",COUNTIF($FF$25:$FF$49,$FF26)=0),"",MATCH($FF26,$FF$25:$FF$49,0))</f>
        <v>1</v>
      </c>
      <c r="BE26" s="1273" t="str">
        <f t="shared" ref="BE26:BE49" si="215">IFERROR(IF(OR($G26="",H26=0),"",IF(V26="",0,IF(AND(BG26="",AF26&lt;&gt;"",AC26&lt;&gt;""),(AC26-AF26),BG26))),"")</f>
        <v/>
      </c>
      <c r="BF26" s="86" t="str">
        <f t="shared" si="16"/>
        <v/>
      </c>
      <c r="BG26" s="57" t="str">
        <f t="shared" si="17"/>
        <v/>
      </c>
      <c r="BH26" s="1329">
        <f t="shared" ref="BH26:BH49" si="216">IF($AU$9="","",IF(AND($EV26="crítico",$EU26=$EW$23),$AU$9,IF(BI26&gt;0,BI26,0)))</f>
        <v>0</v>
      </c>
      <c r="BI26" s="88">
        <f t="shared" ref="BI26:BI49" si="217">MIN(BJ26:CH26)</f>
        <v>0</v>
      </c>
      <c r="BJ26" s="88" t="str">
        <f t="shared" si="18"/>
        <v/>
      </c>
      <c r="BK26" s="88" t="str">
        <f t="shared" si="19"/>
        <v/>
      </c>
      <c r="BL26" s="88" t="str">
        <f t="shared" si="20"/>
        <v/>
      </c>
      <c r="BM26" s="88" t="str">
        <f t="shared" si="21"/>
        <v/>
      </c>
      <c r="BN26" s="88" t="str">
        <f t="shared" si="22"/>
        <v/>
      </c>
      <c r="BO26" s="88" t="str">
        <f t="shared" si="23"/>
        <v/>
      </c>
      <c r="BP26" s="88" t="str">
        <f t="shared" si="24"/>
        <v/>
      </c>
      <c r="BQ26" s="88" t="str">
        <f t="shared" si="25"/>
        <v/>
      </c>
      <c r="BR26" s="88" t="str">
        <f t="shared" si="26"/>
        <v/>
      </c>
      <c r="BS26" s="88" t="str">
        <f t="shared" si="27"/>
        <v/>
      </c>
      <c r="BT26" s="88" t="str">
        <f t="shared" si="28"/>
        <v/>
      </c>
      <c r="BU26" s="88" t="str">
        <f t="shared" si="29"/>
        <v/>
      </c>
      <c r="BV26" s="88" t="str">
        <f t="shared" si="30"/>
        <v/>
      </c>
      <c r="BW26" s="88" t="str">
        <f t="shared" si="31"/>
        <v/>
      </c>
      <c r="BX26" s="88" t="str">
        <f t="shared" si="32"/>
        <v/>
      </c>
      <c r="BY26" s="88" t="str">
        <f t="shared" si="33"/>
        <v/>
      </c>
      <c r="BZ26" s="88" t="str">
        <f t="shared" si="34"/>
        <v/>
      </c>
      <c r="CA26" s="88" t="str">
        <f t="shared" si="35"/>
        <v/>
      </c>
      <c r="CB26" s="88" t="str">
        <f t="shared" si="36"/>
        <v/>
      </c>
      <c r="CC26" s="88" t="str">
        <f t="shared" si="37"/>
        <v/>
      </c>
      <c r="CD26" s="88" t="str">
        <f t="shared" si="38"/>
        <v/>
      </c>
      <c r="CE26" s="88" t="str">
        <f t="shared" si="39"/>
        <v/>
      </c>
      <c r="CF26" s="88" t="str">
        <f t="shared" si="40"/>
        <v/>
      </c>
      <c r="CG26" s="88" t="str">
        <f t="shared" si="41"/>
        <v/>
      </c>
      <c r="CH26" s="88" t="str">
        <f t="shared" si="42"/>
        <v/>
      </c>
      <c r="CI26" s="790" t="str">
        <f t="shared" si="43"/>
        <v>0</v>
      </c>
      <c r="CJ26" s="791">
        <f t="shared" si="44"/>
        <v>0</v>
      </c>
      <c r="CK26" s="784" t="str">
        <f t="shared" si="45"/>
        <v>NA</v>
      </c>
      <c r="CL26" s="784" t="str">
        <f t="shared" si="46"/>
        <v/>
      </c>
      <c r="CM26" s="784" t="str">
        <f t="shared" ref="CM26:CM49" si="218">IF(OR(DT26="",DS26=1),"",IFERROR(MATCH(DT26,$FF$25:$FF$49,0),""))</f>
        <v/>
      </c>
      <c r="CN26" s="790" t="str">
        <f t="shared" si="47"/>
        <v/>
      </c>
      <c r="CO26" s="790" t="str">
        <f t="shared" si="48"/>
        <v/>
      </c>
      <c r="CP26" s="784" t="str">
        <f t="shared" si="49"/>
        <v/>
      </c>
      <c r="CQ26" s="790" t="str">
        <f t="shared" si="50"/>
        <v/>
      </c>
      <c r="CR26" s="524">
        <f t="shared" si="51"/>
        <v>0</v>
      </c>
      <c r="CS26" s="257" t="str">
        <f t="shared" ref="CS26:CS49" si="219">IF(OR(AND($A$5&lt;1,$A$5&gt;18),$E26=""),"",IF(AND($I26="",$H26=""),"",IF($I26="",$H26,I26)))</f>
        <v/>
      </c>
      <c r="CT26" s="496">
        <f>IF($CS26&lt;=2,27.3,IF($CS26&lt;=3,36,IF($CS26&lt;=5,41.9,IF($CS26&lt;=10,53.1,IF($CS26&lt;=20,68.9,IF($CS26&lt;=30,80.9,IF($CS26&lt;=40,105.3,IF($CS26&lt;=60,129.7,155.1))))))))</f>
        <v>155.1</v>
      </c>
      <c r="CU26" s="496">
        <f>IF($CS26&lt;=2,27.3,IF($CS26&lt;=3,36,IF($CS26&lt;=5,41.9,IF($CS26&lt;=10,53.1,IF($CS26&lt;=20,68.9,IF($CS26&lt;=30,80.9,IF($CS26&lt;=40,105.3,IF($CS26&lt;=60,129.7,155.1))))))))</f>
        <v>155.1</v>
      </c>
      <c r="CV26" s="496">
        <f t="shared" ref="CV26:CV49" si="220">IF($CS26=1,27.3,IF($CS26&lt;=2,36,IF($CS26&lt;=3,41.9,IF($CS26&lt;=5,53.1,IF($CS26&lt;=8,68.9,IF($CS26&lt;=15,80.9,IF($CS26&lt;=30,105.3,IF($CS26&lt;=40,129.7,155.1))))))))</f>
        <v>155.1</v>
      </c>
      <c r="CW26" s="495" t="str">
        <f t="shared" si="52"/>
        <v/>
      </c>
      <c r="CX26" s="496" t="str">
        <f t="shared" si="53"/>
        <v/>
      </c>
      <c r="CY26" s="496" t="str">
        <f t="shared" ref="CY26:CY49" si="221">IF(OR(AND($A$5&lt;&gt;5,$A$5&lt;&gt;6,$A$5&lt;&gt;7),$E26=""),"",IF($CS26&lt;=1,27.3,IF($CS26&lt;=2,36,IF($CS26&lt;=5,41.9,IF($CS26&lt;=8,53.1,IF($CS26&lt;=15,68.9,IF($CS26&lt;=27,80.9,IF($CS26&lt;=55,105.3,129.7))))))))</f>
        <v/>
      </c>
      <c r="CZ26" s="1456">
        <f t="shared" ref="CZ26:CZ49" si="222">IF(OR(DO26="c",DO26="nc1"),1,IF(DA26="",1,IF(AND(H26&lt;=$AU$7,$EV$53&lt;&gt;"",DA26&lt;&gt;$BI$115,DA26&lt;&gt;$BI$116,DA26&lt;&gt;$BI$117,DA26&lt;&gt;$BI$118,DA26&lt;&gt;$BI$119,DA26&lt;&gt;$BI$120,DA26&lt;&gt;$BI$121,DA26&lt;&gt;$BI$122),LOOKUP(MATCH(DA26,$AT$116:$AT$124,0),$BE$116:$BE$124,$BF$116:$BF$124),IF($BK116="","",$BK116))))</f>
        <v>1</v>
      </c>
      <c r="DA26" s="157" t="str">
        <f t="shared" ref="DA26:DA49" si="223">IF(DB26&lt;&gt;"",DB26,IF(DC26&lt;&gt;"",DC26,""))</f>
        <v/>
      </c>
      <c r="DB26" s="213" t="str">
        <f t="shared" ref="DB26:DB49" si="224">IF(DD26&lt;&gt;"",DD26,IF(DE26&lt;&gt;"",DE26,IF(DF26&lt;&gt;"",DF26,IF(DG26&lt;&gt;"",DG26,IF(DH26&lt;&gt;"",DH26,IF(DI26&lt;&gt;"",DI26,IF(DJ26&lt;&gt;"",DJ26,"")))))))</f>
        <v/>
      </c>
      <c r="DC26" s="213" t="str">
        <f t="shared" ref="DC26:DC49" si="225">IF(DK26&lt;&gt;"",DK26,IF(DL26&lt;&gt;"",DL26,IF(DM26&lt;&gt;"",DM26,"")))</f>
        <v/>
      </c>
      <c r="DD26" s="157" t="str">
        <f t="shared" si="54"/>
        <v/>
      </c>
      <c r="DE26" s="157" t="str">
        <f t="shared" si="55"/>
        <v/>
      </c>
      <c r="DF26" s="157" t="str">
        <f t="shared" si="56"/>
        <v/>
      </c>
      <c r="DG26" s="157" t="str">
        <f t="shared" si="57"/>
        <v/>
      </c>
      <c r="DH26" s="157" t="str">
        <f t="shared" si="58"/>
        <v/>
      </c>
      <c r="DI26" s="157" t="str">
        <f t="shared" si="59"/>
        <v/>
      </c>
      <c r="DJ26" s="157" t="str">
        <f t="shared" si="60"/>
        <v/>
      </c>
      <c r="DK26" s="157" t="str">
        <f t="shared" si="61"/>
        <v/>
      </c>
      <c r="DL26" s="157" t="str">
        <f t="shared" si="62"/>
        <v/>
      </c>
      <c r="DM26" s="157" t="str">
        <f t="shared" si="63"/>
        <v/>
      </c>
      <c r="DN26" s="33">
        <v>2</v>
      </c>
      <c r="DO26" s="1466" t="str">
        <f t="shared" ref="DO26:DO49" si="226">IF(OR(DP26="",F26="",G26="",H26="",J26=""),"",IF(OR(DP26&gt;=1,EV26="Crítico"),"c",IF(AND(D26="s",H26&lt;=I26,H26&lt;$AU$7,DA55="srs1"),"nc1",IF(AND(D26="s",H26&lt;=I26,H26&lt;$AU$7,DA55&lt;&gt;"srs1"),"ncsr","nc"))))</f>
        <v/>
      </c>
      <c r="DP26" s="1014" t="str">
        <f t="shared" si="64"/>
        <v/>
      </c>
      <c r="DQ26" s="1026" t="str">
        <f t="shared" ref="DQ26:DQ49" si="227">IF(F26&lt;&gt;"",F26,"")</f>
        <v/>
      </c>
      <c r="DR26" s="1026" t="str">
        <f t="shared" ref="DR26:DR49" si="228">IF(G26&lt;&gt;"",G26,"")</f>
        <v/>
      </c>
      <c r="DS26" s="93" t="str">
        <f t="shared" si="65"/>
        <v/>
      </c>
      <c r="DT26" s="213" t="str">
        <f t="shared" si="66"/>
        <v/>
      </c>
      <c r="DU26" s="144" t="str">
        <f t="shared" si="67"/>
        <v/>
      </c>
      <c r="DV26" s="144" t="str">
        <f t="shared" si="68"/>
        <v/>
      </c>
      <c r="DW26" s="144" t="str">
        <f t="shared" si="69"/>
        <v/>
      </c>
      <c r="DX26" s="144" t="str">
        <f t="shared" si="70"/>
        <v/>
      </c>
      <c r="DY26" s="144" t="str">
        <f t="shared" si="71"/>
        <v/>
      </c>
      <c r="DZ26" s="144" t="str">
        <f t="shared" si="72"/>
        <v/>
      </c>
      <c r="EA26" s="144" t="str">
        <f t="shared" si="73"/>
        <v/>
      </c>
      <c r="EB26" s="144" t="str">
        <f t="shared" si="74"/>
        <v/>
      </c>
      <c r="EC26" s="144" t="str">
        <f t="shared" si="75"/>
        <v/>
      </c>
      <c r="ED26" s="144" t="str">
        <f t="shared" si="76"/>
        <v/>
      </c>
      <c r="EE26" s="144" t="str">
        <f t="shared" si="77"/>
        <v/>
      </c>
      <c r="EF26" s="144" t="str">
        <f t="shared" si="78"/>
        <v/>
      </c>
      <c r="EG26" s="144" t="str">
        <f t="shared" si="79"/>
        <v/>
      </c>
      <c r="EH26" s="144" t="str">
        <f t="shared" si="80"/>
        <v/>
      </c>
      <c r="EI26" s="144" t="str">
        <f t="shared" si="81"/>
        <v/>
      </c>
      <c r="EJ26" s="144" t="str">
        <f t="shared" si="82"/>
        <v/>
      </c>
      <c r="EK26" s="144" t="str">
        <f t="shared" si="83"/>
        <v/>
      </c>
      <c r="EL26" s="144" t="str">
        <f t="shared" si="84"/>
        <v/>
      </c>
      <c r="EM26" s="144" t="str">
        <f t="shared" si="85"/>
        <v/>
      </c>
      <c r="EN26" s="719" t="str">
        <f t="shared" si="86"/>
        <v/>
      </c>
      <c r="EO26" s="719" t="str">
        <f t="shared" si="87"/>
        <v/>
      </c>
      <c r="EP26" s="719" t="str">
        <f t="shared" si="88"/>
        <v/>
      </c>
      <c r="EQ26" s="719" t="str">
        <f t="shared" si="89"/>
        <v/>
      </c>
      <c r="ER26" s="719" t="str">
        <f t="shared" si="90"/>
        <v/>
      </c>
      <c r="EU26" s="33">
        <v>2</v>
      </c>
      <c r="EV26" s="735" t="str">
        <f t="shared" si="91"/>
        <v>Crítico</v>
      </c>
      <c r="EW26" s="741">
        <f t="shared" si="92"/>
        <v>1</v>
      </c>
      <c r="EX26" s="121" t="str">
        <f t="shared" si="93"/>
        <v>Crítico</v>
      </c>
      <c r="EY26" s="124">
        <f t="shared" ref="EY26:EY49" si="229">IF(EX26="","",1)</f>
        <v>1</v>
      </c>
      <c r="EZ26" s="121" t="str">
        <f t="shared" si="94"/>
        <v>Crítico</v>
      </c>
      <c r="FA26" s="122">
        <f t="shared" si="95"/>
        <v>1</v>
      </c>
      <c r="FB26" s="18">
        <f t="shared" si="96"/>
        <v>0</v>
      </c>
      <c r="FC26" s="254" t="str">
        <f t="shared" si="97"/>
        <v/>
      </c>
      <c r="FD26" s="76" t="str">
        <f t="shared" ref="FD26:FD49" si="230">IF(FC26="","",1)</f>
        <v/>
      </c>
      <c r="FE26" s="18">
        <f t="shared" ref="FE26:FE49" si="231">FH26+FK26+FO26+FS26+FW26+GA26+GE26+GI26+GM26+GQ26+GU26+GY26+HC26+HG26+HK26+HO26+HS26+HW26+IA26+IE26+II26+IM26+IQ26+IU26+IY26</f>
        <v>0</v>
      </c>
      <c r="FF26" s="703">
        <f t="shared" si="98"/>
        <v>0</v>
      </c>
      <c r="FG26" s="702">
        <f t="shared" si="99"/>
        <v>0</v>
      </c>
      <c r="FH26" s="19">
        <f t="shared" ref="FH26:FH49" si="232">IF(OR($J26="",$J26=0,$FG26=""),0,$J26)</f>
        <v>0</v>
      </c>
      <c r="FI26" s="238" t="str">
        <f t="shared" ref="FI26:FI49" si="233">IF(FG26=0,"",FF26)</f>
        <v/>
      </c>
      <c r="FJ26" s="701" t="str">
        <f t="shared" si="100"/>
        <v/>
      </c>
      <c r="FK26" s="66">
        <f t="shared" si="101"/>
        <v>0</v>
      </c>
      <c r="FL26" s="701" t="str">
        <f t="shared" si="102"/>
        <v/>
      </c>
      <c r="FM26" s="146" t="str">
        <f t="shared" si="103"/>
        <v/>
      </c>
      <c r="FN26" s="701" t="str">
        <f t="shared" si="104"/>
        <v/>
      </c>
      <c r="FO26" s="66">
        <f t="shared" si="105"/>
        <v>0</v>
      </c>
      <c r="FP26" s="701" t="str">
        <f t="shared" si="106"/>
        <v/>
      </c>
      <c r="FQ26" s="146" t="str">
        <f t="shared" si="107"/>
        <v/>
      </c>
      <c r="FR26" s="701" t="str">
        <f t="shared" si="108"/>
        <v/>
      </c>
      <c r="FS26" s="66">
        <f t="shared" si="109"/>
        <v>0</v>
      </c>
      <c r="FT26" s="701" t="str">
        <f t="shared" si="110"/>
        <v/>
      </c>
      <c r="FU26" s="146" t="str">
        <f t="shared" si="111"/>
        <v/>
      </c>
      <c r="FV26" s="701" t="str">
        <f t="shared" si="112"/>
        <v/>
      </c>
      <c r="FW26" s="66">
        <f t="shared" si="113"/>
        <v>0</v>
      </c>
      <c r="FX26" s="701" t="str">
        <f t="shared" si="114"/>
        <v/>
      </c>
      <c r="FY26" s="146" t="str">
        <f t="shared" si="115"/>
        <v/>
      </c>
      <c r="FZ26" s="701" t="str">
        <f t="shared" si="116"/>
        <v/>
      </c>
      <c r="GA26" s="66">
        <f t="shared" si="117"/>
        <v>0</v>
      </c>
      <c r="GB26" s="701" t="str">
        <f t="shared" si="118"/>
        <v/>
      </c>
      <c r="GC26" s="146" t="str">
        <f t="shared" si="119"/>
        <v/>
      </c>
      <c r="GD26" s="701" t="str">
        <f t="shared" si="120"/>
        <v/>
      </c>
      <c r="GE26" s="66">
        <f t="shared" si="121"/>
        <v>0</v>
      </c>
      <c r="GF26" s="701" t="str">
        <f t="shared" si="122"/>
        <v/>
      </c>
      <c r="GG26" s="146" t="str">
        <f t="shared" si="123"/>
        <v/>
      </c>
      <c r="GH26" s="701" t="str">
        <f t="shared" si="124"/>
        <v/>
      </c>
      <c r="GI26" s="66">
        <f t="shared" si="125"/>
        <v>0</v>
      </c>
      <c r="GJ26" s="701" t="str">
        <f t="shared" si="126"/>
        <v/>
      </c>
      <c r="GK26" s="146" t="str">
        <f t="shared" si="127"/>
        <v/>
      </c>
      <c r="GL26" s="701" t="str">
        <f t="shared" si="128"/>
        <v/>
      </c>
      <c r="GM26" s="66">
        <f t="shared" si="129"/>
        <v>0</v>
      </c>
      <c r="GN26" s="701" t="str">
        <f t="shared" si="130"/>
        <v/>
      </c>
      <c r="GO26" s="146" t="str">
        <f t="shared" si="131"/>
        <v/>
      </c>
      <c r="GP26" s="701" t="str">
        <f t="shared" si="132"/>
        <v/>
      </c>
      <c r="GQ26" s="66">
        <f t="shared" si="133"/>
        <v>0</v>
      </c>
      <c r="GR26" s="701" t="str">
        <f t="shared" si="134"/>
        <v/>
      </c>
      <c r="GS26" s="146" t="str">
        <f t="shared" si="135"/>
        <v/>
      </c>
      <c r="GT26" s="701" t="str">
        <f t="shared" si="136"/>
        <v/>
      </c>
      <c r="GU26" s="66">
        <f t="shared" si="137"/>
        <v>0</v>
      </c>
      <c r="GV26" s="701" t="str">
        <f t="shared" si="138"/>
        <v/>
      </c>
      <c r="GW26" s="146" t="str">
        <f t="shared" si="139"/>
        <v/>
      </c>
      <c r="GX26" s="701" t="str">
        <f t="shared" si="140"/>
        <v/>
      </c>
      <c r="GY26" s="66">
        <f t="shared" si="141"/>
        <v>0</v>
      </c>
      <c r="GZ26" s="701" t="str">
        <f t="shared" si="142"/>
        <v/>
      </c>
      <c r="HA26" s="146" t="str">
        <f t="shared" si="143"/>
        <v/>
      </c>
      <c r="HB26" s="701" t="str">
        <f t="shared" si="144"/>
        <v/>
      </c>
      <c r="HC26" s="66">
        <f t="shared" si="145"/>
        <v>0</v>
      </c>
      <c r="HD26" s="701" t="str">
        <f t="shared" si="146"/>
        <v/>
      </c>
      <c r="HE26" s="146" t="str">
        <f t="shared" si="147"/>
        <v/>
      </c>
      <c r="HF26" s="701" t="str">
        <f t="shared" si="148"/>
        <v/>
      </c>
      <c r="HG26" s="66">
        <f t="shared" si="149"/>
        <v>0</v>
      </c>
      <c r="HH26" s="701" t="str">
        <f t="shared" si="150"/>
        <v/>
      </c>
      <c r="HI26" s="146" t="str">
        <f t="shared" si="151"/>
        <v/>
      </c>
      <c r="HJ26" s="701" t="str">
        <f t="shared" si="152"/>
        <v/>
      </c>
      <c r="HK26" s="66">
        <f t="shared" si="153"/>
        <v>0</v>
      </c>
      <c r="HL26" s="701" t="str">
        <f t="shared" si="154"/>
        <v/>
      </c>
      <c r="HM26" s="146" t="str">
        <f t="shared" si="155"/>
        <v/>
      </c>
      <c r="HN26" s="701" t="str">
        <f t="shared" si="156"/>
        <v/>
      </c>
      <c r="HO26" s="66">
        <f t="shared" si="157"/>
        <v>0</v>
      </c>
      <c r="HP26" s="701" t="str">
        <f t="shared" si="158"/>
        <v/>
      </c>
      <c r="HQ26" s="146" t="str">
        <f t="shared" si="159"/>
        <v/>
      </c>
      <c r="HR26" s="701" t="str">
        <f t="shared" si="160"/>
        <v/>
      </c>
      <c r="HS26" s="66">
        <f t="shared" si="161"/>
        <v>0</v>
      </c>
      <c r="HT26" s="701" t="str">
        <f t="shared" si="162"/>
        <v/>
      </c>
      <c r="HU26" s="146" t="str">
        <f t="shared" si="163"/>
        <v/>
      </c>
      <c r="HV26" s="701" t="str">
        <f t="shared" si="164"/>
        <v/>
      </c>
      <c r="HW26" s="66">
        <f t="shared" si="165"/>
        <v>0</v>
      </c>
      <c r="HX26" s="701" t="str">
        <f t="shared" si="166"/>
        <v/>
      </c>
      <c r="HY26" s="146" t="str">
        <f t="shared" si="167"/>
        <v/>
      </c>
      <c r="HZ26" s="701" t="str">
        <f t="shared" si="168"/>
        <v/>
      </c>
      <c r="IA26" s="66">
        <f t="shared" si="169"/>
        <v>0</v>
      </c>
      <c r="IB26" s="701" t="str">
        <f t="shared" si="170"/>
        <v/>
      </c>
      <c r="IC26" s="146" t="str">
        <f t="shared" si="171"/>
        <v/>
      </c>
      <c r="ID26" s="701" t="str">
        <f t="shared" si="172"/>
        <v/>
      </c>
      <c r="IE26" s="66">
        <f t="shared" si="173"/>
        <v>0</v>
      </c>
      <c r="IF26" s="701" t="str">
        <f t="shared" si="174"/>
        <v/>
      </c>
      <c r="IG26" s="146" t="str">
        <f t="shared" si="175"/>
        <v/>
      </c>
      <c r="IH26" s="701" t="str">
        <f t="shared" si="176"/>
        <v/>
      </c>
      <c r="II26" s="66">
        <f t="shared" si="177"/>
        <v>0</v>
      </c>
      <c r="IJ26" s="701" t="str">
        <f t="shared" si="178"/>
        <v/>
      </c>
      <c r="IK26" s="146" t="str">
        <f t="shared" si="179"/>
        <v/>
      </c>
      <c r="IL26" s="701" t="str">
        <f t="shared" si="180"/>
        <v/>
      </c>
      <c r="IM26" s="66">
        <f t="shared" si="181"/>
        <v>0</v>
      </c>
      <c r="IN26" s="701" t="str">
        <f t="shared" si="182"/>
        <v/>
      </c>
      <c r="IO26" s="146" t="str">
        <f t="shared" si="183"/>
        <v/>
      </c>
      <c r="IP26" s="701" t="str">
        <f t="shared" si="184"/>
        <v/>
      </c>
      <c r="IQ26" s="66">
        <f t="shared" si="185"/>
        <v>0</v>
      </c>
      <c r="IR26" s="701" t="str">
        <f t="shared" si="186"/>
        <v/>
      </c>
      <c r="IS26" s="146" t="str">
        <f t="shared" si="187"/>
        <v/>
      </c>
      <c r="IT26" s="701" t="str">
        <f t="shared" si="188"/>
        <v/>
      </c>
      <c r="IU26" s="66">
        <f t="shared" si="189"/>
        <v>0</v>
      </c>
      <c r="IV26" s="701" t="str">
        <f t="shared" si="190"/>
        <v/>
      </c>
      <c r="IW26" s="146" t="str">
        <f t="shared" si="191"/>
        <v/>
      </c>
      <c r="IX26" s="701" t="str">
        <f t="shared" si="192"/>
        <v/>
      </c>
      <c r="IY26" s="66">
        <f t="shared" si="193"/>
        <v>0</v>
      </c>
    </row>
    <row r="27" spans="1:262" s="3" customFormat="1" ht="18" customHeight="1" thickTop="1" thickBot="1" x14ac:dyDescent="0.35">
      <c r="A27" s="1468" t="str">
        <f t="shared" si="194"/>
        <v/>
      </c>
      <c r="B27" s="780" t="str">
        <f t="shared" si="6"/>
        <v/>
      </c>
      <c r="D27" s="525" t="str">
        <f t="shared" ref="D27:D49" si="234">IF(AND(H27&lt;=$AU$7,OR(LEN(F27)&gt;1,LEN(G27)&gt;1),OR(LEFT(F27,1)="s",LEFT(G27,1)="s"),OR(RIGHT(G27,1)="0",RIGHT(G27,1)="1",RIGHT(G27,1)="2",RIGHT(G27,1)="3",RIGHT(G27,1)="4",RIGHT(G27,1)="5",RIGHT(G27,1)="6",RIGHT(G27,1)="7",RIGHT(G27,1)="8",RIGHT(G27,1)="9",RIGHT(F27,1)="0",RIGHT(F27,1)="1",RIGHT(F27,1)="2",RIGHT(F27,1)="3",RIGHT(F27,1)="4",RIGHT(F27,1)="5",RIGHT(F27,1)="6",RIGHT(F27,1)="7",RIGHT(F27,1)="8",RIGHT(F27,1)="9")),"s","")</f>
        <v/>
      </c>
      <c r="E27" s="522" t="str">
        <f>IF(DO56="","",SUM($DO$54:DO56))</f>
        <v/>
      </c>
      <c r="F27" s="843"/>
      <c r="G27" s="844"/>
      <c r="H27" s="1231"/>
      <c r="I27" s="1228"/>
      <c r="J27" s="1229"/>
      <c r="K27" s="1230"/>
      <c r="L27" s="1270" t="str">
        <f>IF('Quadro 2'!G15="","",'Quadro 2'!G15)</f>
        <v/>
      </c>
      <c r="M27" s="1270" t="str">
        <f t="shared" si="195"/>
        <v/>
      </c>
      <c r="N27" s="1459" t="str">
        <f t="shared" si="196"/>
        <v/>
      </c>
      <c r="O27" s="1480" t="str">
        <f t="shared" si="197"/>
        <v/>
      </c>
      <c r="P27" s="1271" t="str">
        <f t="shared" si="198"/>
        <v/>
      </c>
      <c r="Q27" s="1489" t="str">
        <f t="shared" si="199"/>
        <v/>
      </c>
      <c r="R27" s="1426" t="str">
        <f t="shared" si="7"/>
        <v/>
      </c>
      <c r="S27" s="848" t="str">
        <f t="shared" si="8"/>
        <v/>
      </c>
      <c r="T27" s="58" t="str">
        <f t="shared" si="9"/>
        <v/>
      </c>
      <c r="U27" s="1133"/>
      <c r="V27" s="143" t="str">
        <f t="shared" si="200"/>
        <v/>
      </c>
      <c r="W27" s="849" t="str">
        <f>IF(OR(H27="",V27="",V27=0),"",IF($V27&gt;'Quadro 1'!$G$23,'Quadro 1'!$G$23,IF($V27&lt;'Quadro 1'!$G$10,'Quadro 1'!$G$10,MIN($X27,$Y27))))</f>
        <v/>
      </c>
      <c r="X27" s="850" t="str">
        <f>IF($V27&lt;='Quadro 1'!$G$10,'Quadro 1'!$G$10,IF($V27&lt;='Quadro 1'!$G$11,'Quadro 1'!$G$11,IF($V27&lt;='Quadro 1'!$G$12,'Quadro 1'!$G$12,IF($V27&lt;='Quadro 1'!$G$13,'Quadro 1'!$G$13,IF($V27&lt;='Quadro 1'!$G$14,'Quadro 1'!$G$14,IF($V27&lt;='Quadro 1'!$G$15,'Quadro 1'!$G$15,IF($V27&lt;='Quadro 1'!$G$16,'Quadro 1'!$G$16,"")))))))</f>
        <v/>
      </c>
      <c r="Y27" s="851" t="str">
        <f>IF(OR(V27="",V27=0),"",IF($V27&lt;='Quadro 1'!$G$17,'Quadro 1'!$G$17,IF($V27&lt;='Quadro 1'!$G$18,'Quadro 1'!$G$18,IF($V27&lt;='Quadro 1'!$G$19,'Quadro 1'!$G$19,IF($V27&lt;='Quadro 1'!$G$20,'Quadro 1'!$G$20,IF($V27&lt;='Quadro 1'!$G$21,'Quadro 1'!$G$21,IF($V27&lt;='Quadro 1'!$G$22,'Quadro 1'!$G$22,IF($V27&lt;='Quadro 1'!$G$23,'Quadro 1'!$G$23,'Quadro 1'!$G$23))))))))</f>
        <v/>
      </c>
      <c r="Z27" s="852" t="str">
        <f>IF(W27="","",LOOKUP(W27,'Quadro 1'!$G$9:$G$23,'Quadro 1'!$H$9:$H$23))</f>
        <v/>
      </c>
      <c r="AA27" s="1417" t="str">
        <f>IF(W27="","",LOOKUP(W27,'Quadro 1'!$G$9:$G$23,'Quadro 1'!$D$9:$D$23))</f>
        <v/>
      </c>
      <c r="AB27" s="853" t="str">
        <f>IF(W27="","",LOOKUP(W27,'Quadro 1'!$G$9:$G$23,'Quadro 1'!$E$9:$E$23))</f>
        <v/>
      </c>
      <c r="AC27" s="1272" t="str">
        <f t="shared" si="201"/>
        <v/>
      </c>
      <c r="AD27" s="1274" t="str">
        <f t="shared" si="10"/>
        <v/>
      </c>
      <c r="AE27" s="1392" t="str">
        <f t="shared" si="202"/>
        <v/>
      </c>
      <c r="AF27" s="1395" t="str">
        <f t="shared" si="203"/>
        <v/>
      </c>
      <c r="AG27" s="1396" t="str">
        <f t="shared" si="204"/>
        <v/>
      </c>
      <c r="AH27" s="1398" t="str">
        <f t="shared" si="11"/>
        <v/>
      </c>
      <c r="AI27" s="1490" t="str">
        <f t="shared" ref="AI27:AI49" si="235">IF(OR(AH27="",$AU$8="",$DJ$52=""),"",IF(OR($D27="s",H27&lt;$AU$7,B27="nc",B27="nc1",B27="ncsr"),"",FD114))</f>
        <v/>
      </c>
      <c r="AJ27" s="1502" t="str">
        <f t="shared" si="205"/>
        <v/>
      </c>
      <c r="AK27" s="1503"/>
      <c r="AL27" s="1503"/>
      <c r="AM27" s="1504"/>
      <c r="AN27" s="1275" t="str">
        <f t="shared" si="12"/>
        <v/>
      </c>
      <c r="AO27" s="1502" t="str">
        <f t="shared" si="13"/>
        <v/>
      </c>
      <c r="AP27" s="1507"/>
      <c r="AQ27" s="1504"/>
      <c r="AR27" s="846"/>
      <c r="AS27" s="1258">
        <f t="shared" si="206"/>
        <v>0</v>
      </c>
      <c r="AT27" s="1256">
        <f t="shared" si="207"/>
        <v>0</v>
      </c>
      <c r="AU27" s="1381">
        <f t="shared" si="208"/>
        <v>1</v>
      </c>
      <c r="AV27" s="157" t="str">
        <f t="shared" si="14"/>
        <v/>
      </c>
      <c r="AW27" s="87" t="str">
        <f t="shared" ref="AW27:AW49" si="236">IF(BF27&lt;&gt;"",BF27,IF(MAX(AX27,BB27,BC27)=0,"",MAX(AX27,BB27,BC27)))</f>
        <v/>
      </c>
      <c r="AX27" s="87" t="str">
        <f t="shared" si="15"/>
        <v/>
      </c>
      <c r="AY27" s="1341" t="str">
        <f t="shared" si="209"/>
        <v/>
      </c>
      <c r="AZ27" s="701">
        <f t="shared" si="210"/>
        <v>1</v>
      </c>
      <c r="BA27" s="1338" t="str">
        <f t="shared" si="211"/>
        <v/>
      </c>
      <c r="BB27" s="1335" t="str">
        <f t="shared" si="212"/>
        <v/>
      </c>
      <c r="BC27" s="86" t="str">
        <f t="shared" si="213"/>
        <v/>
      </c>
      <c r="BD27" s="701">
        <f t="shared" si="214"/>
        <v>1</v>
      </c>
      <c r="BE27" s="1273" t="str">
        <f t="shared" si="215"/>
        <v/>
      </c>
      <c r="BF27" s="86" t="str">
        <f t="shared" si="16"/>
        <v/>
      </c>
      <c r="BG27" s="57" t="str">
        <f t="shared" si="17"/>
        <v/>
      </c>
      <c r="BH27" s="1329">
        <f t="shared" si="216"/>
        <v>0</v>
      </c>
      <c r="BI27" s="88">
        <f t="shared" si="217"/>
        <v>0</v>
      </c>
      <c r="BJ27" s="88" t="str">
        <f t="shared" si="18"/>
        <v/>
      </c>
      <c r="BK27" s="88" t="str">
        <f t="shared" si="19"/>
        <v/>
      </c>
      <c r="BL27" s="88" t="str">
        <f t="shared" si="20"/>
        <v/>
      </c>
      <c r="BM27" s="88" t="str">
        <f t="shared" si="21"/>
        <v/>
      </c>
      <c r="BN27" s="88" t="str">
        <f t="shared" si="22"/>
        <v/>
      </c>
      <c r="BO27" s="88" t="str">
        <f t="shared" si="23"/>
        <v/>
      </c>
      <c r="BP27" s="88" t="str">
        <f t="shared" si="24"/>
        <v/>
      </c>
      <c r="BQ27" s="88" t="str">
        <f t="shared" si="25"/>
        <v/>
      </c>
      <c r="BR27" s="88" t="str">
        <f t="shared" si="26"/>
        <v/>
      </c>
      <c r="BS27" s="88" t="str">
        <f t="shared" si="27"/>
        <v/>
      </c>
      <c r="BT27" s="88" t="str">
        <f t="shared" si="28"/>
        <v/>
      </c>
      <c r="BU27" s="88" t="str">
        <f t="shared" si="29"/>
        <v/>
      </c>
      <c r="BV27" s="88" t="str">
        <f t="shared" si="30"/>
        <v/>
      </c>
      <c r="BW27" s="88" t="str">
        <f t="shared" si="31"/>
        <v/>
      </c>
      <c r="BX27" s="88" t="str">
        <f t="shared" si="32"/>
        <v/>
      </c>
      <c r="BY27" s="88" t="str">
        <f t="shared" si="33"/>
        <v/>
      </c>
      <c r="BZ27" s="88" t="str">
        <f t="shared" si="34"/>
        <v/>
      </c>
      <c r="CA27" s="88" t="str">
        <f t="shared" si="35"/>
        <v/>
      </c>
      <c r="CB27" s="88" t="str">
        <f t="shared" si="36"/>
        <v/>
      </c>
      <c r="CC27" s="88" t="str">
        <f t="shared" si="37"/>
        <v/>
      </c>
      <c r="CD27" s="88" t="str">
        <f t="shared" si="38"/>
        <v/>
      </c>
      <c r="CE27" s="88" t="str">
        <f t="shared" si="39"/>
        <v/>
      </c>
      <c r="CF27" s="88" t="str">
        <f t="shared" si="40"/>
        <v/>
      </c>
      <c r="CG27" s="88" t="str">
        <f t="shared" si="41"/>
        <v/>
      </c>
      <c r="CH27" s="88" t="str">
        <f t="shared" si="42"/>
        <v/>
      </c>
      <c r="CI27" s="790" t="str">
        <f t="shared" si="43"/>
        <v>0</v>
      </c>
      <c r="CJ27" s="791">
        <f t="shared" si="44"/>
        <v>0</v>
      </c>
      <c r="CK27" s="784" t="str">
        <f t="shared" si="45"/>
        <v>NA</v>
      </c>
      <c r="CL27" s="784" t="str">
        <f t="shared" si="46"/>
        <v/>
      </c>
      <c r="CM27" s="784" t="str">
        <f t="shared" si="218"/>
        <v/>
      </c>
      <c r="CN27" s="790" t="str">
        <f t="shared" si="47"/>
        <v/>
      </c>
      <c r="CO27" s="790" t="str">
        <f t="shared" si="48"/>
        <v/>
      </c>
      <c r="CP27" s="784" t="str">
        <f t="shared" si="49"/>
        <v/>
      </c>
      <c r="CQ27" s="790" t="str">
        <f t="shared" si="50"/>
        <v/>
      </c>
      <c r="CR27" s="524">
        <f t="shared" si="51"/>
        <v>0</v>
      </c>
      <c r="CS27" s="257" t="str">
        <f t="shared" si="219"/>
        <v/>
      </c>
      <c r="CT27" s="496">
        <f>IF($CS27&lt;=2,27.3,IF($CS27&lt;=3,36,IF($CS27&lt;=5,41.9,IF($CS27&lt;=10,53.1,IF($CS27&lt;=20,68.9,IF($CS27&lt;=30,80.9,IF($CS27&lt;=40,105.3,IF($CS27&lt;=60,129.7,155.1))))))))</f>
        <v>155.1</v>
      </c>
      <c r="CU27" s="496">
        <f t="shared" ref="CU27:CU49" si="237">IF($CS27&lt;=2,27.3,IF($CS27&lt;=3,36,IF($CS27&lt;=5,41.9,IF($CS27&lt;=10,53.1,IF($CS27&lt;=20,68.9,IF($CS27&lt;=30,80.9,IF($CS27&lt;=40,105.3,IF($CS27&lt;=60,129.7,155.1))))))))</f>
        <v>155.1</v>
      </c>
      <c r="CV27" s="496">
        <f t="shared" si="220"/>
        <v>155.1</v>
      </c>
      <c r="CW27" s="495" t="str">
        <f t="shared" si="52"/>
        <v/>
      </c>
      <c r="CX27" s="496" t="str">
        <f t="shared" si="53"/>
        <v/>
      </c>
      <c r="CY27" s="496" t="str">
        <f t="shared" si="221"/>
        <v/>
      </c>
      <c r="CZ27" s="1456">
        <f t="shared" si="222"/>
        <v>1</v>
      </c>
      <c r="DA27" s="157" t="str">
        <f t="shared" si="223"/>
        <v/>
      </c>
      <c r="DB27" s="213" t="str">
        <f t="shared" si="224"/>
        <v/>
      </c>
      <c r="DC27" s="213" t="str">
        <f t="shared" si="225"/>
        <v/>
      </c>
      <c r="DD27" s="157" t="str">
        <f t="shared" si="54"/>
        <v/>
      </c>
      <c r="DE27" s="157" t="str">
        <f t="shared" si="55"/>
        <v/>
      </c>
      <c r="DF27" s="157" t="str">
        <f t="shared" si="56"/>
        <v/>
      </c>
      <c r="DG27" s="157" t="str">
        <f t="shared" si="57"/>
        <v/>
      </c>
      <c r="DH27" s="157" t="str">
        <f t="shared" si="58"/>
        <v/>
      </c>
      <c r="DI27" s="157" t="str">
        <f t="shared" si="59"/>
        <v/>
      </c>
      <c r="DJ27" s="157" t="str">
        <f t="shared" si="60"/>
        <v/>
      </c>
      <c r="DK27" s="157" t="str">
        <f t="shared" si="61"/>
        <v/>
      </c>
      <c r="DL27" s="157" t="str">
        <f t="shared" si="62"/>
        <v/>
      </c>
      <c r="DM27" s="157" t="str">
        <f t="shared" si="63"/>
        <v/>
      </c>
      <c r="DN27" s="33">
        <v>3</v>
      </c>
      <c r="DO27" s="1466" t="str">
        <f t="shared" si="226"/>
        <v/>
      </c>
      <c r="DP27" s="1014" t="str">
        <f t="shared" si="64"/>
        <v/>
      </c>
      <c r="DQ27" s="1026" t="str">
        <f t="shared" si="227"/>
        <v/>
      </c>
      <c r="DR27" s="1026" t="str">
        <f t="shared" si="228"/>
        <v/>
      </c>
      <c r="DS27" s="93" t="str">
        <f t="shared" si="65"/>
        <v/>
      </c>
      <c r="DT27" s="213" t="str">
        <f t="shared" si="66"/>
        <v/>
      </c>
      <c r="DU27" s="144" t="str">
        <f t="shared" si="67"/>
        <v/>
      </c>
      <c r="DV27" s="144" t="str">
        <f t="shared" si="68"/>
        <v/>
      </c>
      <c r="DW27" s="144" t="str">
        <f t="shared" si="69"/>
        <v/>
      </c>
      <c r="DX27" s="144" t="str">
        <f t="shared" si="70"/>
        <v/>
      </c>
      <c r="DY27" s="144" t="str">
        <f t="shared" si="71"/>
        <v/>
      </c>
      <c r="DZ27" s="144" t="str">
        <f t="shared" si="72"/>
        <v/>
      </c>
      <c r="EA27" s="144" t="str">
        <f t="shared" si="73"/>
        <v/>
      </c>
      <c r="EB27" s="144" t="str">
        <f t="shared" si="74"/>
        <v/>
      </c>
      <c r="EC27" s="144" t="str">
        <f t="shared" si="75"/>
        <v/>
      </c>
      <c r="ED27" s="144" t="str">
        <f t="shared" si="76"/>
        <v/>
      </c>
      <c r="EE27" s="144" t="str">
        <f t="shared" si="77"/>
        <v/>
      </c>
      <c r="EF27" s="144" t="str">
        <f t="shared" si="78"/>
        <v/>
      </c>
      <c r="EG27" s="144" t="str">
        <f t="shared" si="79"/>
        <v/>
      </c>
      <c r="EH27" s="144" t="str">
        <f t="shared" si="80"/>
        <v/>
      </c>
      <c r="EI27" s="144" t="str">
        <f t="shared" si="81"/>
        <v/>
      </c>
      <c r="EJ27" s="144" t="str">
        <f t="shared" si="82"/>
        <v/>
      </c>
      <c r="EK27" s="144" t="str">
        <f t="shared" si="83"/>
        <v/>
      </c>
      <c r="EL27" s="144" t="str">
        <f t="shared" si="84"/>
        <v/>
      </c>
      <c r="EM27" s="144" t="str">
        <f t="shared" si="85"/>
        <v/>
      </c>
      <c r="EN27" s="719" t="str">
        <f t="shared" si="86"/>
        <v/>
      </c>
      <c r="EO27" s="719" t="str">
        <f t="shared" si="87"/>
        <v/>
      </c>
      <c r="EP27" s="719" t="str">
        <f t="shared" si="88"/>
        <v/>
      </c>
      <c r="EQ27" s="719" t="str">
        <f t="shared" si="89"/>
        <v/>
      </c>
      <c r="ER27" s="719" t="str">
        <f t="shared" si="90"/>
        <v/>
      </c>
      <c r="EU27" s="33">
        <v>3</v>
      </c>
      <c r="EV27" s="735" t="str">
        <f t="shared" si="91"/>
        <v>Crítico</v>
      </c>
      <c r="EW27" s="741">
        <f t="shared" si="92"/>
        <v>1</v>
      </c>
      <c r="EX27" s="121" t="str">
        <f t="shared" si="93"/>
        <v>Crítico</v>
      </c>
      <c r="EY27" s="124">
        <f t="shared" si="229"/>
        <v>1</v>
      </c>
      <c r="EZ27" s="121" t="str">
        <f t="shared" si="94"/>
        <v>Crítico</v>
      </c>
      <c r="FA27" s="122">
        <f t="shared" si="95"/>
        <v>1</v>
      </c>
      <c r="FB27" s="18">
        <f t="shared" si="96"/>
        <v>0</v>
      </c>
      <c r="FC27" s="254" t="str">
        <f t="shared" si="97"/>
        <v/>
      </c>
      <c r="FD27" s="76" t="str">
        <f t="shared" si="230"/>
        <v/>
      </c>
      <c r="FE27" s="18">
        <f t="shared" si="231"/>
        <v>0</v>
      </c>
      <c r="FF27" s="703">
        <f t="shared" si="98"/>
        <v>0</v>
      </c>
      <c r="FG27" s="702">
        <f t="shared" si="99"/>
        <v>0</v>
      </c>
      <c r="FH27" s="19">
        <f t="shared" si="232"/>
        <v>0</v>
      </c>
      <c r="FI27" s="238" t="str">
        <f t="shared" si="233"/>
        <v/>
      </c>
      <c r="FJ27" s="701" t="str">
        <f t="shared" si="100"/>
        <v/>
      </c>
      <c r="FK27" s="66">
        <f t="shared" si="101"/>
        <v>0</v>
      </c>
      <c r="FL27" s="701" t="str">
        <f t="shared" si="102"/>
        <v/>
      </c>
      <c r="FM27" s="146" t="str">
        <f t="shared" si="103"/>
        <v/>
      </c>
      <c r="FN27" s="701" t="str">
        <f t="shared" si="104"/>
        <v/>
      </c>
      <c r="FO27" s="66">
        <f t="shared" si="105"/>
        <v>0</v>
      </c>
      <c r="FP27" s="701" t="str">
        <f t="shared" si="106"/>
        <v/>
      </c>
      <c r="FQ27" s="146" t="str">
        <f t="shared" si="107"/>
        <v/>
      </c>
      <c r="FR27" s="701" t="str">
        <f t="shared" si="108"/>
        <v/>
      </c>
      <c r="FS27" s="66">
        <f t="shared" si="109"/>
        <v>0</v>
      </c>
      <c r="FT27" s="701" t="str">
        <f t="shared" si="110"/>
        <v/>
      </c>
      <c r="FU27" s="146" t="str">
        <f t="shared" si="111"/>
        <v/>
      </c>
      <c r="FV27" s="701" t="str">
        <f t="shared" si="112"/>
        <v/>
      </c>
      <c r="FW27" s="66">
        <f t="shared" si="113"/>
        <v>0</v>
      </c>
      <c r="FX27" s="701" t="str">
        <f t="shared" si="114"/>
        <v/>
      </c>
      <c r="FY27" s="146" t="str">
        <f t="shared" si="115"/>
        <v/>
      </c>
      <c r="FZ27" s="701" t="str">
        <f t="shared" si="116"/>
        <v/>
      </c>
      <c r="GA27" s="66">
        <f t="shared" si="117"/>
        <v>0</v>
      </c>
      <c r="GB27" s="701" t="str">
        <f t="shared" si="118"/>
        <v/>
      </c>
      <c r="GC27" s="146" t="str">
        <f t="shared" si="119"/>
        <v/>
      </c>
      <c r="GD27" s="701" t="str">
        <f t="shared" si="120"/>
        <v/>
      </c>
      <c r="GE27" s="66">
        <f t="shared" si="121"/>
        <v>0</v>
      </c>
      <c r="GF27" s="701" t="str">
        <f t="shared" si="122"/>
        <v/>
      </c>
      <c r="GG27" s="146" t="str">
        <f t="shared" si="123"/>
        <v/>
      </c>
      <c r="GH27" s="701" t="str">
        <f t="shared" si="124"/>
        <v/>
      </c>
      <c r="GI27" s="66">
        <f t="shared" si="125"/>
        <v>0</v>
      </c>
      <c r="GJ27" s="701" t="str">
        <f t="shared" si="126"/>
        <v/>
      </c>
      <c r="GK27" s="146" t="str">
        <f t="shared" si="127"/>
        <v/>
      </c>
      <c r="GL27" s="701" t="str">
        <f t="shared" si="128"/>
        <v/>
      </c>
      <c r="GM27" s="66">
        <f t="shared" si="129"/>
        <v>0</v>
      </c>
      <c r="GN27" s="701" t="str">
        <f t="shared" si="130"/>
        <v/>
      </c>
      <c r="GO27" s="146" t="str">
        <f t="shared" si="131"/>
        <v/>
      </c>
      <c r="GP27" s="701" t="str">
        <f t="shared" si="132"/>
        <v/>
      </c>
      <c r="GQ27" s="66">
        <f t="shared" si="133"/>
        <v>0</v>
      </c>
      <c r="GR27" s="701" t="str">
        <f t="shared" si="134"/>
        <v/>
      </c>
      <c r="GS27" s="146" t="str">
        <f t="shared" si="135"/>
        <v/>
      </c>
      <c r="GT27" s="701" t="str">
        <f t="shared" si="136"/>
        <v/>
      </c>
      <c r="GU27" s="66">
        <f t="shared" si="137"/>
        <v>0</v>
      </c>
      <c r="GV27" s="701" t="str">
        <f t="shared" si="138"/>
        <v/>
      </c>
      <c r="GW27" s="146" t="str">
        <f t="shared" si="139"/>
        <v/>
      </c>
      <c r="GX27" s="701" t="str">
        <f t="shared" si="140"/>
        <v/>
      </c>
      <c r="GY27" s="66">
        <f t="shared" si="141"/>
        <v>0</v>
      </c>
      <c r="GZ27" s="701" t="str">
        <f t="shared" si="142"/>
        <v/>
      </c>
      <c r="HA27" s="146" t="str">
        <f t="shared" si="143"/>
        <v/>
      </c>
      <c r="HB27" s="701" t="str">
        <f t="shared" si="144"/>
        <v/>
      </c>
      <c r="HC27" s="66">
        <f t="shared" si="145"/>
        <v>0</v>
      </c>
      <c r="HD27" s="701" t="str">
        <f t="shared" si="146"/>
        <v/>
      </c>
      <c r="HE27" s="146" t="str">
        <f t="shared" si="147"/>
        <v/>
      </c>
      <c r="HF27" s="701" t="str">
        <f t="shared" si="148"/>
        <v/>
      </c>
      <c r="HG27" s="66">
        <f t="shared" si="149"/>
        <v>0</v>
      </c>
      <c r="HH27" s="701" t="str">
        <f t="shared" si="150"/>
        <v/>
      </c>
      <c r="HI27" s="146" t="str">
        <f t="shared" si="151"/>
        <v/>
      </c>
      <c r="HJ27" s="701" t="str">
        <f t="shared" si="152"/>
        <v/>
      </c>
      <c r="HK27" s="66">
        <f t="shared" si="153"/>
        <v>0</v>
      </c>
      <c r="HL27" s="701" t="str">
        <f t="shared" si="154"/>
        <v/>
      </c>
      <c r="HM27" s="146" t="str">
        <f t="shared" si="155"/>
        <v/>
      </c>
      <c r="HN27" s="701" t="str">
        <f t="shared" si="156"/>
        <v/>
      </c>
      <c r="HO27" s="66">
        <f t="shared" si="157"/>
        <v>0</v>
      </c>
      <c r="HP27" s="701" t="str">
        <f t="shared" si="158"/>
        <v/>
      </c>
      <c r="HQ27" s="146" t="str">
        <f t="shared" si="159"/>
        <v/>
      </c>
      <c r="HR27" s="701" t="str">
        <f t="shared" si="160"/>
        <v/>
      </c>
      <c r="HS27" s="66">
        <f t="shared" si="161"/>
        <v>0</v>
      </c>
      <c r="HT27" s="701" t="str">
        <f t="shared" si="162"/>
        <v/>
      </c>
      <c r="HU27" s="146" t="str">
        <f t="shared" si="163"/>
        <v/>
      </c>
      <c r="HV27" s="701" t="str">
        <f t="shared" si="164"/>
        <v/>
      </c>
      <c r="HW27" s="66">
        <f t="shared" si="165"/>
        <v>0</v>
      </c>
      <c r="HX27" s="701" t="str">
        <f t="shared" si="166"/>
        <v/>
      </c>
      <c r="HY27" s="146" t="str">
        <f t="shared" si="167"/>
        <v/>
      </c>
      <c r="HZ27" s="701" t="str">
        <f t="shared" si="168"/>
        <v/>
      </c>
      <c r="IA27" s="66">
        <f t="shared" si="169"/>
        <v>0</v>
      </c>
      <c r="IB27" s="701" t="str">
        <f t="shared" si="170"/>
        <v/>
      </c>
      <c r="IC27" s="146" t="str">
        <f t="shared" si="171"/>
        <v/>
      </c>
      <c r="ID27" s="701" t="str">
        <f t="shared" si="172"/>
        <v/>
      </c>
      <c r="IE27" s="66">
        <f t="shared" si="173"/>
        <v>0</v>
      </c>
      <c r="IF27" s="701" t="str">
        <f t="shared" si="174"/>
        <v/>
      </c>
      <c r="IG27" s="146" t="str">
        <f t="shared" si="175"/>
        <v/>
      </c>
      <c r="IH27" s="701" t="str">
        <f t="shared" si="176"/>
        <v/>
      </c>
      <c r="II27" s="66">
        <f t="shared" si="177"/>
        <v>0</v>
      </c>
      <c r="IJ27" s="701" t="str">
        <f t="shared" si="178"/>
        <v/>
      </c>
      <c r="IK27" s="146" t="str">
        <f t="shared" si="179"/>
        <v/>
      </c>
      <c r="IL27" s="701" t="str">
        <f t="shared" si="180"/>
        <v/>
      </c>
      <c r="IM27" s="66">
        <f t="shared" si="181"/>
        <v>0</v>
      </c>
      <c r="IN27" s="701" t="str">
        <f t="shared" si="182"/>
        <v/>
      </c>
      <c r="IO27" s="146" t="str">
        <f t="shared" si="183"/>
        <v/>
      </c>
      <c r="IP27" s="701" t="str">
        <f t="shared" si="184"/>
        <v/>
      </c>
      <c r="IQ27" s="66">
        <f t="shared" si="185"/>
        <v>0</v>
      </c>
      <c r="IR27" s="701" t="str">
        <f t="shared" si="186"/>
        <v/>
      </c>
      <c r="IS27" s="146" t="str">
        <f t="shared" si="187"/>
        <v/>
      </c>
      <c r="IT27" s="701" t="str">
        <f t="shared" si="188"/>
        <v/>
      </c>
      <c r="IU27" s="66">
        <f t="shared" si="189"/>
        <v>0</v>
      </c>
      <c r="IV27" s="701" t="str">
        <f t="shared" si="190"/>
        <v/>
      </c>
      <c r="IW27" s="146" t="str">
        <f t="shared" si="191"/>
        <v/>
      </c>
      <c r="IX27" s="701" t="str">
        <f t="shared" si="192"/>
        <v/>
      </c>
      <c r="IY27" s="66">
        <f t="shared" si="193"/>
        <v>0</v>
      </c>
    </row>
    <row r="28" spans="1:262" s="3" customFormat="1" ht="18" customHeight="1" thickTop="1" thickBot="1" x14ac:dyDescent="0.35">
      <c r="A28" s="1468" t="str">
        <f t="shared" si="194"/>
        <v/>
      </c>
      <c r="B28" s="780" t="str">
        <f t="shared" si="6"/>
        <v/>
      </c>
      <c r="D28" s="525" t="str">
        <f t="shared" si="234"/>
        <v/>
      </c>
      <c r="E28" s="522" t="str">
        <f>IF(DO57="","",SUM($DO$54:DO57))</f>
        <v/>
      </c>
      <c r="F28" s="843"/>
      <c r="G28" s="844"/>
      <c r="H28" s="1231"/>
      <c r="I28" s="1228"/>
      <c r="J28" s="1229"/>
      <c r="K28" s="1230"/>
      <c r="L28" s="1270" t="str">
        <f>IF('Quadro 2'!G16="","",'Quadro 2'!G16)</f>
        <v/>
      </c>
      <c r="M28" s="1270" t="str">
        <f t="shared" si="195"/>
        <v/>
      </c>
      <c r="N28" s="1459" t="str">
        <f t="shared" si="196"/>
        <v/>
      </c>
      <c r="O28" s="1480" t="str">
        <f t="shared" si="197"/>
        <v/>
      </c>
      <c r="P28" s="1271" t="str">
        <f t="shared" si="198"/>
        <v/>
      </c>
      <c r="Q28" s="1489" t="str">
        <f t="shared" si="199"/>
        <v/>
      </c>
      <c r="R28" s="1426" t="str">
        <f t="shared" si="7"/>
        <v/>
      </c>
      <c r="S28" s="848" t="str">
        <f t="shared" si="8"/>
        <v/>
      </c>
      <c r="T28" s="58" t="str">
        <f t="shared" si="9"/>
        <v/>
      </c>
      <c r="U28" s="1133"/>
      <c r="V28" s="143" t="str">
        <f t="shared" si="200"/>
        <v/>
      </c>
      <c r="W28" s="849" t="str">
        <f>IF(OR(H28="",V28="",V28=0),"",IF($V28&gt;'Quadro 1'!$G$23,'Quadro 1'!$G$23,IF($V28&lt;'Quadro 1'!$G$10,'Quadro 1'!$G$10,MIN($X28,$Y28))))</f>
        <v/>
      </c>
      <c r="X28" s="850" t="str">
        <f>IF($V28&lt;='Quadro 1'!$G$10,'Quadro 1'!$G$10,IF($V28&lt;='Quadro 1'!$G$11,'Quadro 1'!$G$11,IF($V28&lt;='Quadro 1'!$G$12,'Quadro 1'!$G$12,IF($V28&lt;='Quadro 1'!$G$13,'Quadro 1'!$G$13,IF($V28&lt;='Quadro 1'!$G$14,'Quadro 1'!$G$14,IF($V28&lt;='Quadro 1'!$G$15,'Quadro 1'!$G$15,IF($V28&lt;='Quadro 1'!$G$16,'Quadro 1'!$G$16,"")))))))</f>
        <v/>
      </c>
      <c r="Y28" s="851" t="str">
        <f>IF(OR(V28="",V28=0),"",IF($V28&lt;='Quadro 1'!$G$17,'Quadro 1'!$G$17,IF($V28&lt;='Quadro 1'!$G$18,'Quadro 1'!$G$18,IF($V28&lt;='Quadro 1'!$G$19,'Quadro 1'!$G$19,IF($V28&lt;='Quadro 1'!$G$20,'Quadro 1'!$G$20,IF($V28&lt;='Quadro 1'!$G$21,'Quadro 1'!$G$21,IF($V28&lt;='Quadro 1'!$G$22,'Quadro 1'!$G$22,IF($V28&lt;='Quadro 1'!$G$23,'Quadro 1'!$G$23,'Quadro 1'!$G$23))))))))</f>
        <v/>
      </c>
      <c r="Z28" s="852" t="str">
        <f>IF(W28="","",LOOKUP(W28,'Quadro 1'!$G$9:$G$23,'Quadro 1'!$H$9:$H$23))</f>
        <v/>
      </c>
      <c r="AA28" s="1417" t="str">
        <f>IF(W28="","",LOOKUP(W28,'Quadro 1'!$G$9:$G$23,'Quadro 1'!$D$9:$D$23))</f>
        <v/>
      </c>
      <c r="AB28" s="853" t="str">
        <f>IF(W28="","",LOOKUP(W28,'Quadro 1'!$G$9:$G$23,'Quadro 1'!$E$9:$E$23))</f>
        <v/>
      </c>
      <c r="AC28" s="1272" t="str">
        <f t="shared" si="201"/>
        <v/>
      </c>
      <c r="AD28" s="1274" t="str">
        <f t="shared" si="10"/>
        <v/>
      </c>
      <c r="AE28" s="1392" t="str">
        <f t="shared" si="202"/>
        <v/>
      </c>
      <c r="AF28" s="1395" t="str">
        <f t="shared" si="203"/>
        <v/>
      </c>
      <c r="AG28" s="1396" t="str">
        <f t="shared" si="204"/>
        <v/>
      </c>
      <c r="AH28" s="1398" t="str">
        <f t="shared" si="11"/>
        <v/>
      </c>
      <c r="AI28" s="1490" t="str">
        <f t="shared" si="235"/>
        <v/>
      </c>
      <c r="AJ28" s="1502" t="str">
        <f t="shared" si="205"/>
        <v/>
      </c>
      <c r="AK28" s="1503"/>
      <c r="AL28" s="1503"/>
      <c r="AM28" s="1504"/>
      <c r="AN28" s="1275" t="str">
        <f t="shared" si="12"/>
        <v/>
      </c>
      <c r="AO28" s="1502" t="str">
        <f t="shared" si="13"/>
        <v/>
      </c>
      <c r="AP28" s="1507"/>
      <c r="AQ28" s="1504"/>
      <c r="AR28" s="846"/>
      <c r="AS28" s="1258">
        <f t="shared" si="206"/>
        <v>0</v>
      </c>
      <c r="AT28" s="1256">
        <f t="shared" si="207"/>
        <v>0</v>
      </c>
      <c r="AU28" s="1381">
        <f t="shared" si="208"/>
        <v>1</v>
      </c>
      <c r="AV28" s="157" t="str">
        <f t="shared" si="14"/>
        <v/>
      </c>
      <c r="AW28" s="87" t="str">
        <f>IF(BF28&lt;&gt;"",BF28,IF(MAX(AX28,BB28,BC28)=0,"",MAX(AX28,BB28,BC28)))</f>
        <v/>
      </c>
      <c r="AX28" s="87" t="str">
        <f t="shared" si="15"/>
        <v/>
      </c>
      <c r="AY28" s="1341" t="str">
        <f t="shared" si="209"/>
        <v/>
      </c>
      <c r="AZ28" s="701">
        <f t="shared" si="210"/>
        <v>1</v>
      </c>
      <c r="BA28" s="1338" t="str">
        <f t="shared" si="211"/>
        <v/>
      </c>
      <c r="BB28" s="1335" t="str">
        <f t="shared" si="212"/>
        <v/>
      </c>
      <c r="BC28" s="86" t="str">
        <f t="shared" si="213"/>
        <v/>
      </c>
      <c r="BD28" s="701">
        <f t="shared" si="214"/>
        <v>1</v>
      </c>
      <c r="BE28" s="1273" t="str">
        <f t="shared" si="215"/>
        <v/>
      </c>
      <c r="BF28" s="86" t="str">
        <f t="shared" si="16"/>
        <v/>
      </c>
      <c r="BG28" s="57" t="str">
        <f t="shared" si="17"/>
        <v/>
      </c>
      <c r="BH28" s="1329">
        <f t="shared" si="216"/>
        <v>0</v>
      </c>
      <c r="BI28" s="88">
        <f t="shared" si="217"/>
        <v>0</v>
      </c>
      <c r="BJ28" s="88" t="str">
        <f t="shared" si="18"/>
        <v/>
      </c>
      <c r="BK28" s="88" t="str">
        <f t="shared" si="19"/>
        <v/>
      </c>
      <c r="BL28" s="88" t="str">
        <f t="shared" si="20"/>
        <v/>
      </c>
      <c r="BM28" s="88" t="str">
        <f t="shared" si="21"/>
        <v/>
      </c>
      <c r="BN28" s="88" t="str">
        <f t="shared" si="22"/>
        <v/>
      </c>
      <c r="BO28" s="88" t="str">
        <f t="shared" si="23"/>
        <v/>
      </c>
      <c r="BP28" s="88" t="str">
        <f t="shared" si="24"/>
        <v/>
      </c>
      <c r="BQ28" s="88" t="str">
        <f t="shared" si="25"/>
        <v/>
      </c>
      <c r="BR28" s="88" t="str">
        <f t="shared" si="26"/>
        <v/>
      </c>
      <c r="BS28" s="88" t="str">
        <f t="shared" si="27"/>
        <v/>
      </c>
      <c r="BT28" s="88" t="str">
        <f t="shared" si="28"/>
        <v/>
      </c>
      <c r="BU28" s="88" t="str">
        <f t="shared" si="29"/>
        <v/>
      </c>
      <c r="BV28" s="88" t="str">
        <f t="shared" si="30"/>
        <v/>
      </c>
      <c r="BW28" s="88" t="str">
        <f t="shared" si="31"/>
        <v/>
      </c>
      <c r="BX28" s="88" t="str">
        <f t="shared" si="32"/>
        <v/>
      </c>
      <c r="BY28" s="88" t="str">
        <f t="shared" si="33"/>
        <v/>
      </c>
      <c r="BZ28" s="88" t="str">
        <f t="shared" si="34"/>
        <v/>
      </c>
      <c r="CA28" s="88" t="str">
        <f t="shared" si="35"/>
        <v/>
      </c>
      <c r="CB28" s="88" t="str">
        <f t="shared" si="36"/>
        <v/>
      </c>
      <c r="CC28" s="88" t="str">
        <f t="shared" si="37"/>
        <v/>
      </c>
      <c r="CD28" s="88" t="str">
        <f t="shared" si="38"/>
        <v/>
      </c>
      <c r="CE28" s="88" t="str">
        <f t="shared" si="39"/>
        <v/>
      </c>
      <c r="CF28" s="88" t="str">
        <f t="shared" si="40"/>
        <v/>
      </c>
      <c r="CG28" s="88" t="str">
        <f t="shared" si="41"/>
        <v/>
      </c>
      <c r="CH28" s="88" t="str">
        <f t="shared" si="42"/>
        <v/>
      </c>
      <c r="CI28" s="790" t="str">
        <f t="shared" si="43"/>
        <v>0</v>
      </c>
      <c r="CJ28" s="791">
        <f t="shared" si="44"/>
        <v>0</v>
      </c>
      <c r="CK28" s="784" t="str">
        <f t="shared" si="45"/>
        <v>NA</v>
      </c>
      <c r="CL28" s="784" t="str">
        <f t="shared" si="46"/>
        <v/>
      </c>
      <c r="CM28" s="784" t="str">
        <f t="shared" si="218"/>
        <v/>
      </c>
      <c r="CN28" s="790" t="str">
        <f t="shared" si="47"/>
        <v/>
      </c>
      <c r="CO28" s="790" t="str">
        <f t="shared" si="48"/>
        <v/>
      </c>
      <c r="CP28" s="784" t="str">
        <f t="shared" si="49"/>
        <v/>
      </c>
      <c r="CQ28" s="790" t="str">
        <f t="shared" si="50"/>
        <v/>
      </c>
      <c r="CR28" s="524">
        <f t="shared" si="51"/>
        <v>0</v>
      </c>
      <c r="CS28" s="257" t="str">
        <f t="shared" si="219"/>
        <v/>
      </c>
      <c r="CT28" s="496">
        <f>IF($CS28&lt;=2,27.3,IF($CS28&lt;=3,36,IF($CS28&lt;=5,41.9,IF($CS28&lt;=10,53.1,IF($CS28&lt;=20,68.9,IF($CS28&lt;=30,80.9,IF($CS28&lt;=40,105.3,IF($CS28&lt;=60,129.7,155.1))))))))</f>
        <v>155.1</v>
      </c>
      <c r="CU28" s="496">
        <f t="shared" si="237"/>
        <v>155.1</v>
      </c>
      <c r="CV28" s="496">
        <f t="shared" si="220"/>
        <v>155.1</v>
      </c>
      <c r="CW28" s="495" t="str">
        <f t="shared" si="52"/>
        <v/>
      </c>
      <c r="CX28" s="496" t="str">
        <f t="shared" si="53"/>
        <v/>
      </c>
      <c r="CY28" s="496" t="str">
        <f t="shared" si="221"/>
        <v/>
      </c>
      <c r="CZ28" s="1456">
        <f t="shared" si="222"/>
        <v>1</v>
      </c>
      <c r="DA28" s="157" t="str">
        <f t="shared" si="223"/>
        <v/>
      </c>
      <c r="DB28" s="213" t="str">
        <f t="shared" si="224"/>
        <v/>
      </c>
      <c r="DC28" s="213" t="str">
        <f t="shared" si="225"/>
        <v/>
      </c>
      <c r="DD28" s="157" t="str">
        <f t="shared" si="54"/>
        <v/>
      </c>
      <c r="DE28" s="157" t="str">
        <f t="shared" si="55"/>
        <v/>
      </c>
      <c r="DF28" s="157" t="str">
        <f t="shared" si="56"/>
        <v/>
      </c>
      <c r="DG28" s="157" t="str">
        <f t="shared" si="57"/>
        <v/>
      </c>
      <c r="DH28" s="157" t="str">
        <f t="shared" si="58"/>
        <v/>
      </c>
      <c r="DI28" s="157" t="str">
        <f t="shared" si="59"/>
        <v/>
      </c>
      <c r="DJ28" s="157" t="str">
        <f t="shared" si="60"/>
        <v/>
      </c>
      <c r="DK28" s="157" t="str">
        <f t="shared" si="61"/>
        <v/>
      </c>
      <c r="DL28" s="157" t="str">
        <f t="shared" si="62"/>
        <v/>
      </c>
      <c r="DM28" s="157" t="str">
        <f t="shared" si="63"/>
        <v/>
      </c>
      <c r="DN28" s="33">
        <v>4</v>
      </c>
      <c r="DO28" s="1466" t="str">
        <f t="shared" si="226"/>
        <v/>
      </c>
      <c r="DP28" s="1014" t="str">
        <f t="shared" si="64"/>
        <v/>
      </c>
      <c r="DQ28" s="1026" t="str">
        <f t="shared" si="227"/>
        <v/>
      </c>
      <c r="DR28" s="1026" t="str">
        <f t="shared" si="228"/>
        <v/>
      </c>
      <c r="DS28" s="93" t="str">
        <f t="shared" si="65"/>
        <v/>
      </c>
      <c r="DT28" s="213" t="str">
        <f t="shared" si="66"/>
        <v/>
      </c>
      <c r="DU28" s="144" t="str">
        <f t="shared" si="67"/>
        <v/>
      </c>
      <c r="DV28" s="144" t="str">
        <f t="shared" si="68"/>
        <v/>
      </c>
      <c r="DW28" s="144" t="str">
        <f t="shared" si="69"/>
        <v/>
      </c>
      <c r="DX28" s="144" t="str">
        <f t="shared" si="70"/>
        <v/>
      </c>
      <c r="DY28" s="144" t="str">
        <f t="shared" si="71"/>
        <v/>
      </c>
      <c r="DZ28" s="144" t="str">
        <f t="shared" si="72"/>
        <v/>
      </c>
      <c r="EA28" s="144" t="str">
        <f t="shared" si="73"/>
        <v/>
      </c>
      <c r="EB28" s="144" t="str">
        <f t="shared" si="74"/>
        <v/>
      </c>
      <c r="EC28" s="144" t="str">
        <f t="shared" si="75"/>
        <v/>
      </c>
      <c r="ED28" s="144" t="str">
        <f t="shared" si="76"/>
        <v/>
      </c>
      <c r="EE28" s="144" t="str">
        <f t="shared" si="77"/>
        <v/>
      </c>
      <c r="EF28" s="144" t="str">
        <f t="shared" si="78"/>
        <v/>
      </c>
      <c r="EG28" s="144" t="str">
        <f t="shared" si="79"/>
        <v/>
      </c>
      <c r="EH28" s="144" t="str">
        <f t="shared" si="80"/>
        <v/>
      </c>
      <c r="EI28" s="144" t="str">
        <f t="shared" si="81"/>
        <v/>
      </c>
      <c r="EJ28" s="144" t="str">
        <f t="shared" si="82"/>
        <v/>
      </c>
      <c r="EK28" s="144" t="str">
        <f t="shared" si="83"/>
        <v/>
      </c>
      <c r="EL28" s="144" t="str">
        <f t="shared" si="84"/>
        <v/>
      </c>
      <c r="EM28" s="144" t="str">
        <f t="shared" si="85"/>
        <v/>
      </c>
      <c r="EN28" s="719" t="str">
        <f t="shared" si="86"/>
        <v/>
      </c>
      <c r="EO28" s="719" t="str">
        <f t="shared" si="87"/>
        <v/>
      </c>
      <c r="EP28" s="719" t="str">
        <f t="shared" si="88"/>
        <v/>
      </c>
      <c r="EQ28" s="719" t="str">
        <f t="shared" si="89"/>
        <v/>
      </c>
      <c r="ER28" s="719" t="str">
        <f t="shared" si="90"/>
        <v/>
      </c>
      <c r="EU28" s="33">
        <v>4</v>
      </c>
      <c r="EV28" s="735" t="str">
        <f t="shared" si="91"/>
        <v>Crítico</v>
      </c>
      <c r="EW28" s="741">
        <f t="shared" si="92"/>
        <v>1</v>
      </c>
      <c r="EX28" s="121" t="str">
        <f t="shared" si="93"/>
        <v>Crítico</v>
      </c>
      <c r="EY28" s="124">
        <f t="shared" si="229"/>
        <v>1</v>
      </c>
      <c r="EZ28" s="121" t="str">
        <f t="shared" si="94"/>
        <v>Crítico</v>
      </c>
      <c r="FA28" s="122">
        <f t="shared" si="95"/>
        <v>1</v>
      </c>
      <c r="FB28" s="18">
        <f t="shared" si="96"/>
        <v>0</v>
      </c>
      <c r="FC28" s="254" t="str">
        <f t="shared" si="97"/>
        <v/>
      </c>
      <c r="FD28" s="76" t="str">
        <f t="shared" si="230"/>
        <v/>
      </c>
      <c r="FE28" s="18">
        <f t="shared" si="231"/>
        <v>0</v>
      </c>
      <c r="FF28" s="703">
        <f t="shared" si="98"/>
        <v>0</v>
      </c>
      <c r="FG28" s="702">
        <f t="shared" si="99"/>
        <v>0</v>
      </c>
      <c r="FH28" s="19">
        <f t="shared" si="232"/>
        <v>0</v>
      </c>
      <c r="FI28" s="238" t="str">
        <f t="shared" si="233"/>
        <v/>
      </c>
      <c r="FJ28" s="701" t="str">
        <f t="shared" si="100"/>
        <v/>
      </c>
      <c r="FK28" s="66">
        <f t="shared" si="101"/>
        <v>0</v>
      </c>
      <c r="FL28" s="701" t="str">
        <f t="shared" si="102"/>
        <v/>
      </c>
      <c r="FM28" s="146" t="str">
        <f t="shared" si="103"/>
        <v/>
      </c>
      <c r="FN28" s="701" t="str">
        <f t="shared" si="104"/>
        <v/>
      </c>
      <c r="FO28" s="66">
        <f t="shared" si="105"/>
        <v>0</v>
      </c>
      <c r="FP28" s="701" t="str">
        <f t="shared" si="106"/>
        <v/>
      </c>
      <c r="FQ28" s="146" t="str">
        <f t="shared" si="107"/>
        <v/>
      </c>
      <c r="FR28" s="701" t="str">
        <f t="shared" si="108"/>
        <v/>
      </c>
      <c r="FS28" s="66">
        <f t="shared" si="109"/>
        <v>0</v>
      </c>
      <c r="FT28" s="701" t="str">
        <f t="shared" si="110"/>
        <v/>
      </c>
      <c r="FU28" s="146" t="str">
        <f t="shared" si="111"/>
        <v/>
      </c>
      <c r="FV28" s="701" t="str">
        <f t="shared" si="112"/>
        <v/>
      </c>
      <c r="FW28" s="66">
        <f t="shared" si="113"/>
        <v>0</v>
      </c>
      <c r="FX28" s="701" t="str">
        <f t="shared" si="114"/>
        <v/>
      </c>
      <c r="FY28" s="146" t="str">
        <f t="shared" si="115"/>
        <v/>
      </c>
      <c r="FZ28" s="701" t="str">
        <f t="shared" si="116"/>
        <v/>
      </c>
      <c r="GA28" s="66">
        <f t="shared" si="117"/>
        <v>0</v>
      </c>
      <c r="GB28" s="701" t="str">
        <f t="shared" si="118"/>
        <v/>
      </c>
      <c r="GC28" s="146" t="str">
        <f t="shared" si="119"/>
        <v/>
      </c>
      <c r="GD28" s="701" t="str">
        <f t="shared" si="120"/>
        <v/>
      </c>
      <c r="GE28" s="66">
        <f t="shared" si="121"/>
        <v>0</v>
      </c>
      <c r="GF28" s="701" t="str">
        <f t="shared" si="122"/>
        <v/>
      </c>
      <c r="GG28" s="146" t="str">
        <f t="shared" si="123"/>
        <v/>
      </c>
      <c r="GH28" s="701" t="str">
        <f t="shared" si="124"/>
        <v/>
      </c>
      <c r="GI28" s="66">
        <f t="shared" si="125"/>
        <v>0</v>
      </c>
      <c r="GJ28" s="701" t="str">
        <f t="shared" si="126"/>
        <v/>
      </c>
      <c r="GK28" s="146" t="str">
        <f t="shared" si="127"/>
        <v/>
      </c>
      <c r="GL28" s="701" t="str">
        <f t="shared" si="128"/>
        <v/>
      </c>
      <c r="GM28" s="66">
        <f t="shared" si="129"/>
        <v>0</v>
      </c>
      <c r="GN28" s="701" t="str">
        <f t="shared" si="130"/>
        <v/>
      </c>
      <c r="GO28" s="146" t="str">
        <f t="shared" si="131"/>
        <v/>
      </c>
      <c r="GP28" s="701" t="str">
        <f t="shared" si="132"/>
        <v/>
      </c>
      <c r="GQ28" s="66">
        <f t="shared" si="133"/>
        <v>0</v>
      </c>
      <c r="GR28" s="701" t="str">
        <f t="shared" si="134"/>
        <v/>
      </c>
      <c r="GS28" s="146" t="str">
        <f t="shared" si="135"/>
        <v/>
      </c>
      <c r="GT28" s="701" t="str">
        <f t="shared" si="136"/>
        <v/>
      </c>
      <c r="GU28" s="66">
        <f t="shared" si="137"/>
        <v>0</v>
      </c>
      <c r="GV28" s="701" t="str">
        <f t="shared" si="138"/>
        <v/>
      </c>
      <c r="GW28" s="146" t="str">
        <f t="shared" si="139"/>
        <v/>
      </c>
      <c r="GX28" s="701" t="str">
        <f t="shared" si="140"/>
        <v/>
      </c>
      <c r="GY28" s="66">
        <f t="shared" si="141"/>
        <v>0</v>
      </c>
      <c r="GZ28" s="701" t="str">
        <f t="shared" si="142"/>
        <v/>
      </c>
      <c r="HA28" s="146" t="str">
        <f t="shared" si="143"/>
        <v/>
      </c>
      <c r="HB28" s="701" t="str">
        <f t="shared" si="144"/>
        <v/>
      </c>
      <c r="HC28" s="66">
        <f t="shared" si="145"/>
        <v>0</v>
      </c>
      <c r="HD28" s="701" t="str">
        <f t="shared" si="146"/>
        <v/>
      </c>
      <c r="HE28" s="146" t="str">
        <f t="shared" si="147"/>
        <v/>
      </c>
      <c r="HF28" s="701" t="str">
        <f t="shared" si="148"/>
        <v/>
      </c>
      <c r="HG28" s="66">
        <f t="shared" si="149"/>
        <v>0</v>
      </c>
      <c r="HH28" s="701" t="str">
        <f t="shared" si="150"/>
        <v/>
      </c>
      <c r="HI28" s="146" t="str">
        <f t="shared" si="151"/>
        <v/>
      </c>
      <c r="HJ28" s="701" t="str">
        <f t="shared" si="152"/>
        <v/>
      </c>
      <c r="HK28" s="66">
        <f t="shared" si="153"/>
        <v>0</v>
      </c>
      <c r="HL28" s="701" t="str">
        <f t="shared" si="154"/>
        <v/>
      </c>
      <c r="HM28" s="146" t="str">
        <f t="shared" si="155"/>
        <v/>
      </c>
      <c r="HN28" s="701" t="str">
        <f t="shared" si="156"/>
        <v/>
      </c>
      <c r="HO28" s="66">
        <f t="shared" si="157"/>
        <v>0</v>
      </c>
      <c r="HP28" s="701" t="str">
        <f t="shared" si="158"/>
        <v/>
      </c>
      <c r="HQ28" s="146" t="str">
        <f t="shared" si="159"/>
        <v/>
      </c>
      <c r="HR28" s="701" t="str">
        <f t="shared" si="160"/>
        <v/>
      </c>
      <c r="HS28" s="66">
        <f t="shared" si="161"/>
        <v>0</v>
      </c>
      <c r="HT28" s="701" t="str">
        <f t="shared" si="162"/>
        <v/>
      </c>
      <c r="HU28" s="146" t="str">
        <f t="shared" si="163"/>
        <v/>
      </c>
      <c r="HV28" s="701" t="str">
        <f t="shared" si="164"/>
        <v/>
      </c>
      <c r="HW28" s="66">
        <f t="shared" si="165"/>
        <v>0</v>
      </c>
      <c r="HX28" s="701" t="str">
        <f t="shared" si="166"/>
        <v/>
      </c>
      <c r="HY28" s="146" t="str">
        <f t="shared" si="167"/>
        <v/>
      </c>
      <c r="HZ28" s="701" t="str">
        <f t="shared" si="168"/>
        <v/>
      </c>
      <c r="IA28" s="66">
        <f t="shared" si="169"/>
        <v>0</v>
      </c>
      <c r="IB28" s="701" t="str">
        <f t="shared" si="170"/>
        <v/>
      </c>
      <c r="IC28" s="146" t="str">
        <f t="shared" si="171"/>
        <v/>
      </c>
      <c r="ID28" s="701" t="str">
        <f t="shared" si="172"/>
        <v/>
      </c>
      <c r="IE28" s="66">
        <f t="shared" si="173"/>
        <v>0</v>
      </c>
      <c r="IF28" s="701" t="str">
        <f t="shared" si="174"/>
        <v/>
      </c>
      <c r="IG28" s="146" t="str">
        <f t="shared" si="175"/>
        <v/>
      </c>
      <c r="IH28" s="701" t="str">
        <f t="shared" si="176"/>
        <v/>
      </c>
      <c r="II28" s="66">
        <f t="shared" si="177"/>
        <v>0</v>
      </c>
      <c r="IJ28" s="701" t="str">
        <f t="shared" si="178"/>
        <v/>
      </c>
      <c r="IK28" s="146" t="str">
        <f t="shared" si="179"/>
        <v/>
      </c>
      <c r="IL28" s="701" t="str">
        <f t="shared" si="180"/>
        <v/>
      </c>
      <c r="IM28" s="66">
        <f t="shared" si="181"/>
        <v>0</v>
      </c>
      <c r="IN28" s="701" t="str">
        <f t="shared" si="182"/>
        <v/>
      </c>
      <c r="IO28" s="146" t="str">
        <f t="shared" si="183"/>
        <v/>
      </c>
      <c r="IP28" s="701" t="str">
        <f t="shared" si="184"/>
        <v/>
      </c>
      <c r="IQ28" s="66">
        <f t="shared" si="185"/>
        <v>0</v>
      </c>
      <c r="IR28" s="701" t="str">
        <f t="shared" si="186"/>
        <v/>
      </c>
      <c r="IS28" s="146" t="str">
        <f t="shared" si="187"/>
        <v/>
      </c>
      <c r="IT28" s="701" t="str">
        <f t="shared" si="188"/>
        <v/>
      </c>
      <c r="IU28" s="66">
        <f t="shared" si="189"/>
        <v>0</v>
      </c>
      <c r="IV28" s="701" t="str">
        <f t="shared" si="190"/>
        <v/>
      </c>
      <c r="IW28" s="146" t="str">
        <f t="shared" si="191"/>
        <v/>
      </c>
      <c r="IX28" s="701" t="str">
        <f t="shared" si="192"/>
        <v/>
      </c>
      <c r="IY28" s="66">
        <f t="shared" si="193"/>
        <v>0</v>
      </c>
    </row>
    <row r="29" spans="1:262" s="3" customFormat="1" ht="18" customHeight="1" thickTop="1" thickBot="1" x14ac:dyDescent="0.35">
      <c r="A29" s="1468" t="str">
        <f t="shared" si="194"/>
        <v/>
      </c>
      <c r="B29" s="780" t="str">
        <f t="shared" si="6"/>
        <v/>
      </c>
      <c r="D29" s="525" t="str">
        <f t="shared" si="234"/>
        <v/>
      </c>
      <c r="E29" s="522" t="str">
        <f>IF(DO58="","",SUM($DO$54:DO58))</f>
        <v/>
      </c>
      <c r="F29" s="843"/>
      <c r="G29" s="844"/>
      <c r="H29" s="1231"/>
      <c r="I29" s="1228"/>
      <c r="J29" s="1229"/>
      <c r="K29" s="1230"/>
      <c r="L29" s="1270" t="str">
        <f>IF('Quadro 2'!G17="","",'Quadro 2'!G17)</f>
        <v/>
      </c>
      <c r="M29" s="1270" t="str">
        <f t="shared" si="195"/>
        <v/>
      </c>
      <c r="N29" s="1459" t="str">
        <f t="shared" si="196"/>
        <v/>
      </c>
      <c r="O29" s="1480" t="str">
        <f t="shared" si="197"/>
        <v/>
      </c>
      <c r="P29" s="1271" t="str">
        <f t="shared" si="198"/>
        <v/>
      </c>
      <c r="Q29" s="1489" t="str">
        <f t="shared" si="199"/>
        <v/>
      </c>
      <c r="R29" s="1426" t="str">
        <f t="shared" si="7"/>
        <v/>
      </c>
      <c r="S29" s="848" t="str">
        <f t="shared" si="8"/>
        <v/>
      </c>
      <c r="T29" s="58" t="str">
        <f t="shared" si="9"/>
        <v/>
      </c>
      <c r="U29" s="1133"/>
      <c r="V29" s="143" t="str">
        <f t="shared" si="200"/>
        <v/>
      </c>
      <c r="W29" s="849" t="str">
        <f>IF(OR(H29="",V29="",V29=0),"",IF($V29&gt;'Quadro 1'!$G$23,'Quadro 1'!$G$23,IF($V29&lt;'Quadro 1'!$G$10,'Quadro 1'!$G$10,MIN($X29,$Y29))))</f>
        <v/>
      </c>
      <c r="X29" s="850" t="str">
        <f>IF($V29&lt;='Quadro 1'!$G$10,'Quadro 1'!$G$10,IF($V29&lt;='Quadro 1'!$G$11,'Quadro 1'!$G$11,IF($V29&lt;='Quadro 1'!$G$12,'Quadro 1'!$G$12,IF($V29&lt;='Quadro 1'!$G$13,'Quadro 1'!$G$13,IF($V29&lt;='Quadro 1'!$G$14,'Quadro 1'!$G$14,IF($V29&lt;='Quadro 1'!$G$15,'Quadro 1'!$G$15,IF($V29&lt;='Quadro 1'!$G$16,'Quadro 1'!$G$16,"")))))))</f>
        <v/>
      </c>
      <c r="Y29" s="851" t="str">
        <f>IF(OR(V29="",V29=0),"",IF($V29&lt;='Quadro 1'!$G$17,'Quadro 1'!$G$17,IF($V29&lt;='Quadro 1'!$G$18,'Quadro 1'!$G$18,IF($V29&lt;='Quadro 1'!$G$19,'Quadro 1'!$G$19,IF($V29&lt;='Quadro 1'!$G$20,'Quadro 1'!$G$20,IF($V29&lt;='Quadro 1'!$G$21,'Quadro 1'!$G$21,IF($V29&lt;='Quadro 1'!$G$22,'Quadro 1'!$G$22,IF($V29&lt;='Quadro 1'!$G$23,'Quadro 1'!$G$23,'Quadro 1'!$G$23))))))))</f>
        <v/>
      </c>
      <c r="Z29" s="852" t="str">
        <f>IF(W29="","",LOOKUP(W29,'Quadro 1'!$G$9:$G$23,'Quadro 1'!$H$9:$H$23))</f>
        <v/>
      </c>
      <c r="AA29" s="1417" t="str">
        <f>IF(W29="","",LOOKUP(W29,'Quadro 1'!$G$9:$G$23,'Quadro 1'!$D$9:$D$23))</f>
        <v/>
      </c>
      <c r="AB29" s="853" t="str">
        <f>IF(W29="","",LOOKUP(W29,'Quadro 1'!$G$9:$G$23,'Quadro 1'!$E$9:$E$23))</f>
        <v/>
      </c>
      <c r="AC29" s="1272" t="str">
        <f t="shared" si="201"/>
        <v/>
      </c>
      <c r="AD29" s="1274" t="str">
        <f t="shared" si="10"/>
        <v/>
      </c>
      <c r="AE29" s="1392" t="str">
        <f t="shared" si="202"/>
        <v/>
      </c>
      <c r="AF29" s="1395" t="str">
        <f t="shared" si="203"/>
        <v/>
      </c>
      <c r="AG29" s="1396" t="str">
        <f t="shared" si="204"/>
        <v/>
      </c>
      <c r="AH29" s="1398" t="str">
        <f t="shared" si="11"/>
        <v/>
      </c>
      <c r="AI29" s="1490" t="str">
        <f t="shared" si="235"/>
        <v/>
      </c>
      <c r="AJ29" s="1502" t="str">
        <f t="shared" si="205"/>
        <v/>
      </c>
      <c r="AK29" s="1503"/>
      <c r="AL29" s="1503"/>
      <c r="AM29" s="1504"/>
      <c r="AN29" s="1275" t="str">
        <f t="shared" si="12"/>
        <v/>
      </c>
      <c r="AO29" s="1502" t="str">
        <f t="shared" si="13"/>
        <v/>
      </c>
      <c r="AP29" s="1507"/>
      <c r="AQ29" s="1504"/>
      <c r="AR29" s="846"/>
      <c r="AS29" s="1258">
        <f t="shared" si="206"/>
        <v>0</v>
      </c>
      <c r="AT29" s="1256">
        <f t="shared" si="207"/>
        <v>0</v>
      </c>
      <c r="AU29" s="1381">
        <f t="shared" si="208"/>
        <v>1</v>
      </c>
      <c r="AV29" s="157" t="str">
        <f t="shared" si="14"/>
        <v/>
      </c>
      <c r="AW29" s="87" t="str">
        <f>IF(BF29&lt;&gt;"",BF29,IF(MAX(AX29,BB29,BC29)=0,"",MAX(AX29,BB29,BC29)))</f>
        <v/>
      </c>
      <c r="AX29" s="87" t="str">
        <f t="shared" si="15"/>
        <v/>
      </c>
      <c r="AY29" s="1341" t="str">
        <f t="shared" si="209"/>
        <v/>
      </c>
      <c r="AZ29" s="701">
        <f t="shared" si="210"/>
        <v>1</v>
      </c>
      <c r="BA29" s="1338" t="str">
        <f t="shared" si="211"/>
        <v/>
      </c>
      <c r="BB29" s="1335" t="str">
        <f t="shared" si="212"/>
        <v/>
      </c>
      <c r="BC29" s="86" t="str">
        <f t="shared" si="213"/>
        <v/>
      </c>
      <c r="BD29" s="701">
        <f t="shared" si="214"/>
        <v>1</v>
      </c>
      <c r="BE29" s="1273" t="str">
        <f t="shared" si="215"/>
        <v/>
      </c>
      <c r="BF29" s="86" t="str">
        <f t="shared" si="16"/>
        <v/>
      </c>
      <c r="BG29" s="57" t="str">
        <f t="shared" si="17"/>
        <v/>
      </c>
      <c r="BH29" s="1329">
        <f>IF($AU$9="","",IF(AND($EV29="crítico",$EU29=$EW$23),$AU$9,IF(BI29&gt;0,BI29,0)))</f>
        <v>0</v>
      </c>
      <c r="BI29" s="88">
        <f t="shared" si="217"/>
        <v>0</v>
      </c>
      <c r="BJ29" s="88" t="str">
        <f t="shared" si="18"/>
        <v/>
      </c>
      <c r="BK29" s="88" t="str">
        <f t="shared" si="19"/>
        <v/>
      </c>
      <c r="BL29" s="88" t="str">
        <f t="shared" si="20"/>
        <v/>
      </c>
      <c r="BM29" s="88" t="str">
        <f t="shared" si="21"/>
        <v/>
      </c>
      <c r="BN29" s="88" t="str">
        <f t="shared" si="22"/>
        <v/>
      </c>
      <c r="BO29" s="88" t="str">
        <f t="shared" si="23"/>
        <v/>
      </c>
      <c r="BP29" s="88" t="str">
        <f t="shared" si="24"/>
        <v/>
      </c>
      <c r="BQ29" s="88" t="str">
        <f t="shared" si="25"/>
        <v/>
      </c>
      <c r="BR29" s="88" t="str">
        <f t="shared" si="26"/>
        <v/>
      </c>
      <c r="BS29" s="88" t="str">
        <f t="shared" si="27"/>
        <v/>
      </c>
      <c r="BT29" s="88" t="str">
        <f t="shared" si="28"/>
        <v/>
      </c>
      <c r="BU29" s="88" t="str">
        <f t="shared" si="29"/>
        <v/>
      </c>
      <c r="BV29" s="88" t="str">
        <f t="shared" si="30"/>
        <v/>
      </c>
      <c r="BW29" s="88" t="str">
        <f t="shared" si="31"/>
        <v/>
      </c>
      <c r="BX29" s="88" t="str">
        <f t="shared" si="32"/>
        <v/>
      </c>
      <c r="BY29" s="88" t="str">
        <f t="shared" si="33"/>
        <v/>
      </c>
      <c r="BZ29" s="88" t="str">
        <f t="shared" si="34"/>
        <v/>
      </c>
      <c r="CA29" s="88" t="str">
        <f t="shared" si="35"/>
        <v/>
      </c>
      <c r="CB29" s="88" t="str">
        <f t="shared" si="36"/>
        <v/>
      </c>
      <c r="CC29" s="88" t="str">
        <f t="shared" si="37"/>
        <v/>
      </c>
      <c r="CD29" s="88" t="str">
        <f t="shared" si="38"/>
        <v/>
      </c>
      <c r="CE29" s="88" t="str">
        <f t="shared" si="39"/>
        <v/>
      </c>
      <c r="CF29" s="88" t="str">
        <f t="shared" si="40"/>
        <v/>
      </c>
      <c r="CG29" s="88" t="str">
        <f t="shared" si="41"/>
        <v/>
      </c>
      <c r="CH29" s="88" t="str">
        <f t="shared" si="42"/>
        <v/>
      </c>
      <c r="CI29" s="790" t="str">
        <f t="shared" si="43"/>
        <v>0</v>
      </c>
      <c r="CJ29" s="791">
        <f t="shared" si="44"/>
        <v>0</v>
      </c>
      <c r="CK29" s="784" t="str">
        <f t="shared" si="45"/>
        <v>NA</v>
      </c>
      <c r="CL29" s="784" t="str">
        <f t="shared" si="46"/>
        <v/>
      </c>
      <c r="CM29" s="784" t="str">
        <f t="shared" si="218"/>
        <v/>
      </c>
      <c r="CN29" s="790" t="str">
        <f t="shared" si="47"/>
        <v/>
      </c>
      <c r="CO29" s="790" t="str">
        <f t="shared" si="48"/>
        <v/>
      </c>
      <c r="CP29" s="784" t="str">
        <f t="shared" si="49"/>
        <v/>
      </c>
      <c r="CQ29" s="790" t="str">
        <f t="shared" si="50"/>
        <v/>
      </c>
      <c r="CR29" s="524">
        <f t="shared" si="51"/>
        <v>0</v>
      </c>
      <c r="CS29" s="257" t="str">
        <f t="shared" si="219"/>
        <v/>
      </c>
      <c r="CT29" s="496">
        <f t="shared" ref="CT29:CT49" si="238">IF($CS29&lt;=2,27.3,IF($CS29&lt;=3,36,IF($CS29&lt;=5,41.9,IF($CS29&lt;=10,53.1,IF($CS29&lt;=20,68.9,IF($CS29&lt;=30,80.9,IF($CS29&lt;=40,105.3,IF($CS29&lt;=60,129.7,155.1))))))))</f>
        <v>155.1</v>
      </c>
      <c r="CU29" s="496">
        <f t="shared" si="237"/>
        <v>155.1</v>
      </c>
      <c r="CV29" s="496">
        <f t="shared" si="220"/>
        <v>155.1</v>
      </c>
      <c r="CW29" s="495" t="str">
        <f t="shared" si="52"/>
        <v/>
      </c>
      <c r="CX29" s="496" t="str">
        <f t="shared" si="53"/>
        <v/>
      </c>
      <c r="CY29" s="496" t="str">
        <f t="shared" si="221"/>
        <v/>
      </c>
      <c r="CZ29" s="1456">
        <f t="shared" si="222"/>
        <v>1</v>
      </c>
      <c r="DA29" s="157" t="str">
        <f t="shared" si="223"/>
        <v/>
      </c>
      <c r="DB29" s="213" t="str">
        <f t="shared" si="224"/>
        <v/>
      </c>
      <c r="DC29" s="213" t="str">
        <f t="shared" si="225"/>
        <v/>
      </c>
      <c r="DD29" s="157" t="str">
        <f t="shared" si="54"/>
        <v/>
      </c>
      <c r="DE29" s="157" t="str">
        <f t="shared" si="55"/>
        <v/>
      </c>
      <c r="DF29" s="157" t="str">
        <f t="shared" si="56"/>
        <v/>
      </c>
      <c r="DG29" s="157" t="str">
        <f t="shared" si="57"/>
        <v/>
      </c>
      <c r="DH29" s="157" t="str">
        <f t="shared" si="58"/>
        <v/>
      </c>
      <c r="DI29" s="157" t="str">
        <f t="shared" si="59"/>
        <v/>
      </c>
      <c r="DJ29" s="157" t="str">
        <f t="shared" si="60"/>
        <v/>
      </c>
      <c r="DK29" s="157" t="str">
        <f t="shared" si="61"/>
        <v/>
      </c>
      <c r="DL29" s="157" t="str">
        <f t="shared" si="62"/>
        <v/>
      </c>
      <c r="DM29" s="157" t="str">
        <f t="shared" si="63"/>
        <v/>
      </c>
      <c r="DN29" s="33">
        <v>5</v>
      </c>
      <c r="DO29" s="1466" t="str">
        <f t="shared" si="226"/>
        <v/>
      </c>
      <c r="DP29" s="1014" t="str">
        <f t="shared" si="64"/>
        <v/>
      </c>
      <c r="DQ29" s="1026" t="str">
        <f t="shared" si="227"/>
        <v/>
      </c>
      <c r="DR29" s="1026" t="str">
        <f t="shared" si="228"/>
        <v/>
      </c>
      <c r="DS29" s="93" t="str">
        <f t="shared" si="65"/>
        <v/>
      </c>
      <c r="DT29" s="213" t="str">
        <f t="shared" si="66"/>
        <v/>
      </c>
      <c r="DU29" s="144" t="str">
        <f t="shared" si="67"/>
        <v/>
      </c>
      <c r="DV29" s="144" t="str">
        <f t="shared" si="68"/>
        <v/>
      </c>
      <c r="DW29" s="144" t="str">
        <f t="shared" si="69"/>
        <v/>
      </c>
      <c r="DX29" s="144" t="str">
        <f t="shared" si="70"/>
        <v/>
      </c>
      <c r="DY29" s="144" t="str">
        <f t="shared" si="71"/>
        <v/>
      </c>
      <c r="DZ29" s="144" t="str">
        <f t="shared" si="72"/>
        <v/>
      </c>
      <c r="EA29" s="144" t="str">
        <f t="shared" si="73"/>
        <v/>
      </c>
      <c r="EB29" s="144" t="str">
        <f t="shared" si="74"/>
        <v/>
      </c>
      <c r="EC29" s="144" t="str">
        <f t="shared" si="75"/>
        <v/>
      </c>
      <c r="ED29" s="144" t="str">
        <f t="shared" si="76"/>
        <v/>
      </c>
      <c r="EE29" s="144" t="str">
        <f t="shared" si="77"/>
        <v/>
      </c>
      <c r="EF29" s="144" t="str">
        <f t="shared" si="78"/>
        <v/>
      </c>
      <c r="EG29" s="144" t="str">
        <f t="shared" si="79"/>
        <v/>
      </c>
      <c r="EH29" s="144" t="str">
        <f t="shared" si="80"/>
        <v/>
      </c>
      <c r="EI29" s="144" t="str">
        <f t="shared" si="81"/>
        <v/>
      </c>
      <c r="EJ29" s="144" t="str">
        <f t="shared" si="82"/>
        <v/>
      </c>
      <c r="EK29" s="144" t="str">
        <f t="shared" si="83"/>
        <v/>
      </c>
      <c r="EL29" s="144" t="str">
        <f t="shared" si="84"/>
        <v/>
      </c>
      <c r="EM29" s="144" t="str">
        <f t="shared" si="85"/>
        <v/>
      </c>
      <c r="EN29" s="719" t="str">
        <f t="shared" si="86"/>
        <v/>
      </c>
      <c r="EO29" s="719" t="str">
        <f t="shared" si="87"/>
        <v/>
      </c>
      <c r="EP29" s="719" t="str">
        <f t="shared" si="88"/>
        <v/>
      </c>
      <c r="EQ29" s="719" t="str">
        <f t="shared" si="89"/>
        <v/>
      </c>
      <c r="ER29" s="719" t="str">
        <f t="shared" si="90"/>
        <v/>
      </c>
      <c r="EU29" s="33">
        <v>5</v>
      </c>
      <c r="EV29" s="735" t="str">
        <f t="shared" si="91"/>
        <v>Crítico</v>
      </c>
      <c r="EW29" s="741">
        <f t="shared" si="92"/>
        <v>1</v>
      </c>
      <c r="EX29" s="121" t="str">
        <f t="shared" si="93"/>
        <v>Crítico</v>
      </c>
      <c r="EY29" s="124">
        <f t="shared" si="229"/>
        <v>1</v>
      </c>
      <c r="EZ29" s="121" t="str">
        <f t="shared" si="94"/>
        <v>Crítico</v>
      </c>
      <c r="FA29" s="122">
        <f t="shared" si="95"/>
        <v>1</v>
      </c>
      <c r="FB29" s="18">
        <f t="shared" si="96"/>
        <v>0</v>
      </c>
      <c r="FC29" s="254" t="str">
        <f t="shared" si="97"/>
        <v/>
      </c>
      <c r="FD29" s="76" t="str">
        <f t="shared" si="230"/>
        <v/>
      </c>
      <c r="FE29" s="18">
        <f t="shared" si="231"/>
        <v>0</v>
      </c>
      <c r="FF29" s="703">
        <f t="shared" si="98"/>
        <v>0</v>
      </c>
      <c r="FG29" s="702">
        <f t="shared" si="99"/>
        <v>0</v>
      </c>
      <c r="FH29" s="19">
        <f t="shared" si="232"/>
        <v>0</v>
      </c>
      <c r="FI29" s="238" t="str">
        <f t="shared" si="233"/>
        <v/>
      </c>
      <c r="FJ29" s="701" t="str">
        <f t="shared" si="100"/>
        <v/>
      </c>
      <c r="FK29" s="66">
        <f t="shared" si="101"/>
        <v>0</v>
      </c>
      <c r="FL29" s="701" t="str">
        <f t="shared" si="102"/>
        <v/>
      </c>
      <c r="FM29" s="146" t="str">
        <f t="shared" si="103"/>
        <v/>
      </c>
      <c r="FN29" s="701" t="str">
        <f t="shared" si="104"/>
        <v/>
      </c>
      <c r="FO29" s="66">
        <f t="shared" si="105"/>
        <v>0</v>
      </c>
      <c r="FP29" s="701" t="str">
        <f t="shared" si="106"/>
        <v/>
      </c>
      <c r="FQ29" s="146" t="str">
        <f t="shared" si="107"/>
        <v/>
      </c>
      <c r="FR29" s="701" t="str">
        <f t="shared" si="108"/>
        <v/>
      </c>
      <c r="FS29" s="66">
        <f t="shared" si="109"/>
        <v>0</v>
      </c>
      <c r="FT29" s="701" t="str">
        <f t="shared" si="110"/>
        <v/>
      </c>
      <c r="FU29" s="146" t="str">
        <f t="shared" si="111"/>
        <v/>
      </c>
      <c r="FV29" s="701" t="str">
        <f t="shared" si="112"/>
        <v/>
      </c>
      <c r="FW29" s="66">
        <f t="shared" si="113"/>
        <v>0</v>
      </c>
      <c r="FX29" s="701" t="str">
        <f t="shared" si="114"/>
        <v/>
      </c>
      <c r="FY29" s="146" t="str">
        <f t="shared" si="115"/>
        <v/>
      </c>
      <c r="FZ29" s="701" t="str">
        <f t="shared" si="116"/>
        <v/>
      </c>
      <c r="GA29" s="66">
        <f t="shared" si="117"/>
        <v>0</v>
      </c>
      <c r="GB29" s="701" t="str">
        <f t="shared" si="118"/>
        <v/>
      </c>
      <c r="GC29" s="146" t="str">
        <f t="shared" si="119"/>
        <v/>
      </c>
      <c r="GD29" s="701" t="str">
        <f t="shared" si="120"/>
        <v/>
      </c>
      <c r="GE29" s="66">
        <f t="shared" si="121"/>
        <v>0</v>
      </c>
      <c r="GF29" s="701" t="str">
        <f t="shared" si="122"/>
        <v/>
      </c>
      <c r="GG29" s="146" t="str">
        <f t="shared" si="123"/>
        <v/>
      </c>
      <c r="GH29" s="701" t="str">
        <f t="shared" si="124"/>
        <v/>
      </c>
      <c r="GI29" s="66">
        <f t="shared" si="125"/>
        <v>0</v>
      </c>
      <c r="GJ29" s="701" t="str">
        <f t="shared" si="126"/>
        <v/>
      </c>
      <c r="GK29" s="146" t="str">
        <f t="shared" si="127"/>
        <v/>
      </c>
      <c r="GL29" s="701" t="str">
        <f t="shared" si="128"/>
        <v/>
      </c>
      <c r="GM29" s="66">
        <f t="shared" si="129"/>
        <v>0</v>
      </c>
      <c r="GN29" s="701" t="str">
        <f t="shared" si="130"/>
        <v/>
      </c>
      <c r="GO29" s="146" t="str">
        <f t="shared" si="131"/>
        <v/>
      </c>
      <c r="GP29" s="701" t="str">
        <f t="shared" si="132"/>
        <v/>
      </c>
      <c r="GQ29" s="66">
        <f t="shared" si="133"/>
        <v>0</v>
      </c>
      <c r="GR29" s="701" t="str">
        <f t="shared" si="134"/>
        <v/>
      </c>
      <c r="GS29" s="146" t="str">
        <f t="shared" si="135"/>
        <v/>
      </c>
      <c r="GT29" s="701" t="str">
        <f t="shared" si="136"/>
        <v/>
      </c>
      <c r="GU29" s="66">
        <f t="shared" si="137"/>
        <v>0</v>
      </c>
      <c r="GV29" s="701" t="str">
        <f t="shared" si="138"/>
        <v/>
      </c>
      <c r="GW29" s="146" t="str">
        <f t="shared" si="139"/>
        <v/>
      </c>
      <c r="GX29" s="701" t="str">
        <f t="shared" si="140"/>
        <v/>
      </c>
      <c r="GY29" s="66">
        <f t="shared" si="141"/>
        <v>0</v>
      </c>
      <c r="GZ29" s="701" t="str">
        <f t="shared" si="142"/>
        <v/>
      </c>
      <c r="HA29" s="146" t="str">
        <f t="shared" si="143"/>
        <v/>
      </c>
      <c r="HB29" s="701" t="str">
        <f t="shared" si="144"/>
        <v/>
      </c>
      <c r="HC29" s="66">
        <f t="shared" si="145"/>
        <v>0</v>
      </c>
      <c r="HD29" s="701" t="str">
        <f t="shared" si="146"/>
        <v/>
      </c>
      <c r="HE29" s="146" t="str">
        <f t="shared" si="147"/>
        <v/>
      </c>
      <c r="HF29" s="701" t="str">
        <f t="shared" si="148"/>
        <v/>
      </c>
      <c r="HG29" s="66">
        <f t="shared" si="149"/>
        <v>0</v>
      </c>
      <c r="HH29" s="701" t="str">
        <f t="shared" si="150"/>
        <v/>
      </c>
      <c r="HI29" s="146" t="str">
        <f t="shared" si="151"/>
        <v/>
      </c>
      <c r="HJ29" s="701" t="str">
        <f t="shared" si="152"/>
        <v/>
      </c>
      <c r="HK29" s="66">
        <f t="shared" si="153"/>
        <v>0</v>
      </c>
      <c r="HL29" s="701" t="str">
        <f t="shared" si="154"/>
        <v/>
      </c>
      <c r="HM29" s="146" t="str">
        <f t="shared" si="155"/>
        <v/>
      </c>
      <c r="HN29" s="701" t="str">
        <f t="shared" si="156"/>
        <v/>
      </c>
      <c r="HO29" s="66">
        <f t="shared" si="157"/>
        <v>0</v>
      </c>
      <c r="HP29" s="701" t="str">
        <f t="shared" si="158"/>
        <v/>
      </c>
      <c r="HQ29" s="146" t="str">
        <f t="shared" si="159"/>
        <v/>
      </c>
      <c r="HR29" s="701" t="str">
        <f t="shared" si="160"/>
        <v/>
      </c>
      <c r="HS29" s="66">
        <f t="shared" si="161"/>
        <v>0</v>
      </c>
      <c r="HT29" s="701" t="str">
        <f t="shared" si="162"/>
        <v/>
      </c>
      <c r="HU29" s="146" t="str">
        <f t="shared" si="163"/>
        <v/>
      </c>
      <c r="HV29" s="701" t="str">
        <f t="shared" si="164"/>
        <v/>
      </c>
      <c r="HW29" s="66">
        <f t="shared" si="165"/>
        <v>0</v>
      </c>
      <c r="HX29" s="701" t="str">
        <f t="shared" si="166"/>
        <v/>
      </c>
      <c r="HY29" s="146" t="str">
        <f t="shared" si="167"/>
        <v/>
      </c>
      <c r="HZ29" s="701" t="str">
        <f t="shared" si="168"/>
        <v/>
      </c>
      <c r="IA29" s="66">
        <f t="shared" si="169"/>
        <v>0</v>
      </c>
      <c r="IB29" s="701" t="str">
        <f t="shared" si="170"/>
        <v/>
      </c>
      <c r="IC29" s="146" t="str">
        <f t="shared" si="171"/>
        <v/>
      </c>
      <c r="ID29" s="701" t="str">
        <f t="shared" si="172"/>
        <v/>
      </c>
      <c r="IE29" s="66">
        <f t="shared" si="173"/>
        <v>0</v>
      </c>
      <c r="IF29" s="701" t="str">
        <f t="shared" si="174"/>
        <v/>
      </c>
      <c r="IG29" s="146" t="str">
        <f t="shared" si="175"/>
        <v/>
      </c>
      <c r="IH29" s="701" t="str">
        <f t="shared" si="176"/>
        <v/>
      </c>
      <c r="II29" s="66">
        <f t="shared" si="177"/>
        <v>0</v>
      </c>
      <c r="IJ29" s="701" t="str">
        <f t="shared" si="178"/>
        <v/>
      </c>
      <c r="IK29" s="146" t="str">
        <f t="shared" si="179"/>
        <v/>
      </c>
      <c r="IL29" s="701" t="str">
        <f t="shared" si="180"/>
        <v/>
      </c>
      <c r="IM29" s="66">
        <f t="shared" si="181"/>
        <v>0</v>
      </c>
      <c r="IN29" s="701" t="str">
        <f t="shared" si="182"/>
        <v/>
      </c>
      <c r="IO29" s="146" t="str">
        <f t="shared" si="183"/>
        <v/>
      </c>
      <c r="IP29" s="701" t="str">
        <f t="shared" si="184"/>
        <v/>
      </c>
      <c r="IQ29" s="66">
        <f t="shared" si="185"/>
        <v>0</v>
      </c>
      <c r="IR29" s="701" t="str">
        <f t="shared" si="186"/>
        <v/>
      </c>
      <c r="IS29" s="146" t="str">
        <f t="shared" si="187"/>
        <v/>
      </c>
      <c r="IT29" s="701" t="str">
        <f t="shared" si="188"/>
        <v/>
      </c>
      <c r="IU29" s="66">
        <f t="shared" si="189"/>
        <v>0</v>
      </c>
      <c r="IV29" s="701" t="str">
        <f t="shared" si="190"/>
        <v/>
      </c>
      <c r="IW29" s="146" t="str">
        <f t="shared" si="191"/>
        <v/>
      </c>
      <c r="IX29" s="701" t="str">
        <f t="shared" si="192"/>
        <v/>
      </c>
      <c r="IY29" s="66">
        <f t="shared" si="193"/>
        <v>0</v>
      </c>
      <c r="JB29" s="1001"/>
    </row>
    <row r="30" spans="1:262" s="3" customFormat="1" ht="18" customHeight="1" thickTop="1" thickBot="1" x14ac:dyDescent="0.35">
      <c r="A30" s="1468" t="str">
        <f t="shared" si="194"/>
        <v/>
      </c>
      <c r="B30" s="780" t="str">
        <f t="shared" si="6"/>
        <v/>
      </c>
      <c r="D30" s="525" t="str">
        <f t="shared" si="234"/>
        <v/>
      </c>
      <c r="E30" s="522" t="str">
        <f>IF(DO59="","",SUM($DO$54:DO59))</f>
        <v/>
      </c>
      <c r="F30" s="843"/>
      <c r="G30" s="844"/>
      <c r="H30" s="1231"/>
      <c r="I30" s="1228"/>
      <c r="J30" s="1229"/>
      <c r="K30" s="1230"/>
      <c r="L30" s="1270" t="str">
        <f>IF('Quadro 2'!G18="","",'Quadro 2'!G18)</f>
        <v/>
      </c>
      <c r="M30" s="1270" t="str">
        <f t="shared" si="195"/>
        <v/>
      </c>
      <c r="N30" s="1459" t="str">
        <f t="shared" si="196"/>
        <v/>
      </c>
      <c r="O30" s="1480" t="str">
        <f t="shared" si="197"/>
        <v/>
      </c>
      <c r="P30" s="1271" t="str">
        <f t="shared" si="198"/>
        <v/>
      </c>
      <c r="Q30" s="1489" t="str">
        <f t="shared" si="199"/>
        <v/>
      </c>
      <c r="R30" s="1426" t="str">
        <f t="shared" si="7"/>
        <v/>
      </c>
      <c r="S30" s="848" t="str">
        <f t="shared" si="8"/>
        <v/>
      </c>
      <c r="T30" s="58" t="str">
        <f t="shared" si="9"/>
        <v/>
      </c>
      <c r="U30" s="1133"/>
      <c r="V30" s="143" t="str">
        <f t="shared" si="200"/>
        <v/>
      </c>
      <c r="W30" s="849" t="str">
        <f>IF(OR(H30="",V30="",V30=0),"",IF($V30&gt;'Quadro 1'!$G$23,'Quadro 1'!$G$23,IF($V30&lt;'Quadro 1'!$G$10,'Quadro 1'!$G$10,MIN($X30,$Y30))))</f>
        <v/>
      </c>
      <c r="X30" s="850" t="str">
        <f>IF($V30&lt;='Quadro 1'!$G$10,'Quadro 1'!$G$10,IF($V30&lt;='Quadro 1'!$G$11,'Quadro 1'!$G$11,IF($V30&lt;='Quadro 1'!$G$12,'Quadro 1'!$G$12,IF($V30&lt;='Quadro 1'!$G$13,'Quadro 1'!$G$13,IF($V30&lt;='Quadro 1'!$G$14,'Quadro 1'!$G$14,IF($V30&lt;='Quadro 1'!$G$15,'Quadro 1'!$G$15,IF($V30&lt;='Quadro 1'!$G$16,'Quadro 1'!$G$16,"")))))))</f>
        <v/>
      </c>
      <c r="Y30" s="851" t="str">
        <f>IF(OR(V30="",V30=0),"",IF($V30&lt;='Quadro 1'!$G$17,'Quadro 1'!$G$17,IF($V30&lt;='Quadro 1'!$G$18,'Quadro 1'!$G$18,IF($V30&lt;='Quadro 1'!$G$19,'Quadro 1'!$G$19,IF($V30&lt;='Quadro 1'!$G$20,'Quadro 1'!$G$20,IF($V30&lt;='Quadro 1'!$G$21,'Quadro 1'!$G$21,IF($V30&lt;='Quadro 1'!$G$22,'Quadro 1'!$G$22,IF($V30&lt;='Quadro 1'!$G$23,'Quadro 1'!$G$23,'Quadro 1'!$G$23))))))))</f>
        <v/>
      </c>
      <c r="Z30" s="852" t="str">
        <f>IF(W30="","",LOOKUP(W30,'Quadro 1'!$G$9:$G$23,'Quadro 1'!$H$9:$H$23))</f>
        <v/>
      </c>
      <c r="AA30" s="1417" t="str">
        <f>IF(W30="","",LOOKUP(W30,'Quadro 1'!$G$9:$G$23,'Quadro 1'!$D$9:$D$23))</f>
        <v/>
      </c>
      <c r="AB30" s="853" t="str">
        <f>IF(W30="","",LOOKUP(W30,'Quadro 1'!$G$9:$G$23,'Quadro 1'!$E$9:$E$23))</f>
        <v/>
      </c>
      <c r="AC30" s="1272" t="str">
        <f t="shared" si="201"/>
        <v/>
      </c>
      <c r="AD30" s="1274" t="str">
        <f t="shared" si="10"/>
        <v/>
      </c>
      <c r="AE30" s="1392" t="str">
        <f t="shared" si="202"/>
        <v/>
      </c>
      <c r="AF30" s="1395" t="str">
        <f t="shared" si="203"/>
        <v/>
      </c>
      <c r="AG30" s="1396" t="str">
        <f t="shared" si="204"/>
        <v/>
      </c>
      <c r="AH30" s="1398" t="str">
        <f t="shared" si="11"/>
        <v/>
      </c>
      <c r="AI30" s="1490" t="str">
        <f t="shared" si="235"/>
        <v/>
      </c>
      <c r="AJ30" s="1502" t="str">
        <f t="shared" ref="AJ30:AJ48" si="239">IF(OR($AU$8="",AE30=""),"",IF(BE30=0,"Redimensionar",IF(OR($D30="s",H30&lt;$AU$7,B30="nc",B30="nc1",B30="nc2"),"Não aplicável",IF(AI30&lt;$AM$23,"Conforme","Redimensionar"))))</f>
        <v/>
      </c>
      <c r="AK30" s="1503"/>
      <c r="AL30" s="1503"/>
      <c r="AM30" s="1504"/>
      <c r="AN30" s="1275" t="str">
        <f t="shared" si="12"/>
        <v/>
      </c>
      <c r="AO30" s="1502" t="str">
        <f t="shared" si="13"/>
        <v/>
      </c>
      <c r="AP30" s="1507"/>
      <c r="AQ30" s="1504"/>
      <c r="AR30" s="846"/>
      <c r="AS30" s="1258">
        <f t="shared" si="206"/>
        <v>0</v>
      </c>
      <c r="AT30" s="1256">
        <f t="shared" si="207"/>
        <v>0</v>
      </c>
      <c r="AU30" s="1381">
        <f t="shared" si="208"/>
        <v>1</v>
      </c>
      <c r="AV30" s="157" t="str">
        <f t="shared" si="14"/>
        <v/>
      </c>
      <c r="AW30" s="87" t="str">
        <f t="shared" si="236"/>
        <v/>
      </c>
      <c r="AX30" s="87" t="str">
        <f t="shared" si="15"/>
        <v/>
      </c>
      <c r="AY30" s="1341" t="str">
        <f t="shared" si="209"/>
        <v/>
      </c>
      <c r="AZ30" s="701">
        <f t="shared" si="210"/>
        <v>1</v>
      </c>
      <c r="BA30" s="1338" t="str">
        <f t="shared" si="211"/>
        <v/>
      </c>
      <c r="BB30" s="1335" t="str">
        <f t="shared" si="212"/>
        <v/>
      </c>
      <c r="BC30" s="86" t="str">
        <f t="shared" si="213"/>
        <v/>
      </c>
      <c r="BD30" s="701">
        <f t="shared" si="214"/>
        <v>1</v>
      </c>
      <c r="BE30" s="1273" t="str">
        <f t="shared" si="215"/>
        <v/>
      </c>
      <c r="BF30" s="86" t="str">
        <f t="shared" si="16"/>
        <v/>
      </c>
      <c r="BG30" s="57" t="str">
        <f t="shared" si="17"/>
        <v/>
      </c>
      <c r="BH30" s="1329">
        <f t="shared" si="216"/>
        <v>0</v>
      </c>
      <c r="BI30" s="88">
        <f t="shared" si="217"/>
        <v>0</v>
      </c>
      <c r="BJ30" s="88" t="str">
        <f t="shared" si="18"/>
        <v/>
      </c>
      <c r="BK30" s="88" t="str">
        <f t="shared" si="19"/>
        <v/>
      </c>
      <c r="BL30" s="88" t="str">
        <f t="shared" si="20"/>
        <v/>
      </c>
      <c r="BM30" s="88" t="str">
        <f t="shared" si="21"/>
        <v/>
      </c>
      <c r="BN30" s="88" t="str">
        <f t="shared" si="22"/>
        <v/>
      </c>
      <c r="BO30" s="88" t="str">
        <f t="shared" si="23"/>
        <v/>
      </c>
      <c r="BP30" s="88" t="str">
        <f t="shared" si="24"/>
        <v/>
      </c>
      <c r="BQ30" s="88" t="str">
        <f t="shared" si="25"/>
        <v/>
      </c>
      <c r="BR30" s="88" t="str">
        <f t="shared" si="26"/>
        <v/>
      </c>
      <c r="BS30" s="88" t="str">
        <f t="shared" si="27"/>
        <v/>
      </c>
      <c r="BT30" s="88" t="str">
        <f t="shared" si="28"/>
        <v/>
      </c>
      <c r="BU30" s="88" t="str">
        <f t="shared" si="29"/>
        <v/>
      </c>
      <c r="BV30" s="88" t="str">
        <f t="shared" si="30"/>
        <v/>
      </c>
      <c r="BW30" s="88" t="str">
        <f t="shared" si="31"/>
        <v/>
      </c>
      <c r="BX30" s="88" t="str">
        <f t="shared" si="32"/>
        <v/>
      </c>
      <c r="BY30" s="88" t="str">
        <f t="shared" si="33"/>
        <v/>
      </c>
      <c r="BZ30" s="88" t="str">
        <f t="shared" si="34"/>
        <v/>
      </c>
      <c r="CA30" s="88" t="str">
        <f t="shared" si="35"/>
        <v/>
      </c>
      <c r="CB30" s="88" t="str">
        <f t="shared" si="36"/>
        <v/>
      </c>
      <c r="CC30" s="88" t="str">
        <f t="shared" si="37"/>
        <v/>
      </c>
      <c r="CD30" s="88" t="str">
        <f t="shared" si="38"/>
        <v/>
      </c>
      <c r="CE30" s="88" t="str">
        <f t="shared" si="39"/>
        <v/>
      </c>
      <c r="CF30" s="88" t="str">
        <f t="shared" si="40"/>
        <v/>
      </c>
      <c r="CG30" s="88" t="str">
        <f t="shared" si="41"/>
        <v/>
      </c>
      <c r="CH30" s="88" t="str">
        <f t="shared" si="42"/>
        <v/>
      </c>
      <c r="CI30" s="790" t="str">
        <f t="shared" si="43"/>
        <v>0</v>
      </c>
      <c r="CJ30" s="791">
        <f t="shared" si="44"/>
        <v>0</v>
      </c>
      <c r="CK30" s="784" t="str">
        <f t="shared" si="45"/>
        <v>NA</v>
      </c>
      <c r="CL30" s="784" t="str">
        <f t="shared" si="46"/>
        <v/>
      </c>
      <c r="CM30" s="784" t="str">
        <f t="shared" si="218"/>
        <v/>
      </c>
      <c r="CN30" s="790" t="str">
        <f t="shared" si="47"/>
        <v/>
      </c>
      <c r="CO30" s="790" t="str">
        <f t="shared" si="48"/>
        <v/>
      </c>
      <c r="CP30" s="784" t="str">
        <f t="shared" si="49"/>
        <v/>
      </c>
      <c r="CQ30" s="790" t="str">
        <f t="shared" si="50"/>
        <v/>
      </c>
      <c r="CR30" s="524">
        <f t="shared" si="51"/>
        <v>0</v>
      </c>
      <c r="CS30" s="257" t="str">
        <f t="shared" si="219"/>
        <v/>
      </c>
      <c r="CT30" s="496">
        <f t="shared" si="238"/>
        <v>155.1</v>
      </c>
      <c r="CU30" s="496">
        <f t="shared" si="237"/>
        <v>155.1</v>
      </c>
      <c r="CV30" s="496">
        <f t="shared" si="220"/>
        <v>155.1</v>
      </c>
      <c r="CW30" s="495" t="str">
        <f t="shared" si="52"/>
        <v/>
      </c>
      <c r="CX30" s="496" t="str">
        <f t="shared" si="53"/>
        <v/>
      </c>
      <c r="CY30" s="496" t="str">
        <f t="shared" si="221"/>
        <v/>
      </c>
      <c r="CZ30" s="1456">
        <f t="shared" si="222"/>
        <v>1</v>
      </c>
      <c r="DA30" s="157" t="str">
        <f t="shared" si="223"/>
        <v/>
      </c>
      <c r="DB30" s="213" t="str">
        <f t="shared" si="224"/>
        <v/>
      </c>
      <c r="DC30" s="213" t="str">
        <f t="shared" si="225"/>
        <v/>
      </c>
      <c r="DD30" s="157" t="str">
        <f t="shared" si="54"/>
        <v/>
      </c>
      <c r="DE30" s="157" t="str">
        <f t="shared" si="55"/>
        <v/>
      </c>
      <c r="DF30" s="157" t="str">
        <f t="shared" si="56"/>
        <v/>
      </c>
      <c r="DG30" s="157" t="str">
        <f t="shared" si="57"/>
        <v/>
      </c>
      <c r="DH30" s="157" t="str">
        <f t="shared" si="58"/>
        <v/>
      </c>
      <c r="DI30" s="157" t="str">
        <f t="shared" si="59"/>
        <v/>
      </c>
      <c r="DJ30" s="157" t="str">
        <f t="shared" si="60"/>
        <v/>
      </c>
      <c r="DK30" s="157" t="str">
        <f t="shared" si="61"/>
        <v/>
      </c>
      <c r="DL30" s="157" t="str">
        <f t="shared" si="62"/>
        <v/>
      </c>
      <c r="DM30" s="157" t="str">
        <f t="shared" si="63"/>
        <v/>
      </c>
      <c r="DN30" s="33">
        <v>6</v>
      </c>
      <c r="DO30" s="1466" t="str">
        <f t="shared" si="226"/>
        <v/>
      </c>
      <c r="DP30" s="1014" t="str">
        <f t="shared" si="64"/>
        <v/>
      </c>
      <c r="DQ30" s="1026" t="str">
        <f t="shared" si="227"/>
        <v/>
      </c>
      <c r="DR30" s="1026" t="str">
        <f t="shared" si="228"/>
        <v/>
      </c>
      <c r="DS30" s="93" t="str">
        <f t="shared" si="65"/>
        <v/>
      </c>
      <c r="DT30" s="213" t="str">
        <f t="shared" si="66"/>
        <v/>
      </c>
      <c r="DU30" s="144" t="str">
        <f t="shared" si="67"/>
        <v/>
      </c>
      <c r="DV30" s="144" t="str">
        <f t="shared" si="68"/>
        <v/>
      </c>
      <c r="DW30" s="144" t="str">
        <f t="shared" si="69"/>
        <v/>
      </c>
      <c r="DX30" s="144" t="str">
        <f t="shared" si="70"/>
        <v/>
      </c>
      <c r="DY30" s="144" t="str">
        <f t="shared" si="71"/>
        <v/>
      </c>
      <c r="DZ30" s="144" t="str">
        <f t="shared" si="72"/>
        <v/>
      </c>
      <c r="EA30" s="144" t="str">
        <f t="shared" si="73"/>
        <v/>
      </c>
      <c r="EB30" s="144" t="str">
        <f t="shared" si="74"/>
        <v/>
      </c>
      <c r="EC30" s="144" t="str">
        <f t="shared" si="75"/>
        <v/>
      </c>
      <c r="ED30" s="144" t="str">
        <f t="shared" si="76"/>
        <v/>
      </c>
      <c r="EE30" s="144" t="str">
        <f t="shared" si="77"/>
        <v/>
      </c>
      <c r="EF30" s="144" t="str">
        <f t="shared" si="78"/>
        <v/>
      </c>
      <c r="EG30" s="144" t="str">
        <f t="shared" si="79"/>
        <v/>
      </c>
      <c r="EH30" s="144" t="str">
        <f t="shared" si="80"/>
        <v/>
      </c>
      <c r="EI30" s="144" t="str">
        <f t="shared" si="81"/>
        <v/>
      </c>
      <c r="EJ30" s="144" t="str">
        <f t="shared" si="82"/>
        <v/>
      </c>
      <c r="EK30" s="144" t="str">
        <f t="shared" si="83"/>
        <v/>
      </c>
      <c r="EL30" s="144" t="str">
        <f t="shared" si="84"/>
        <v/>
      </c>
      <c r="EM30" s="144" t="str">
        <f t="shared" si="85"/>
        <v/>
      </c>
      <c r="EN30" s="719" t="str">
        <f t="shared" si="86"/>
        <v/>
      </c>
      <c r="EO30" s="719" t="str">
        <f t="shared" si="87"/>
        <v/>
      </c>
      <c r="EP30" s="719" t="str">
        <f t="shared" si="88"/>
        <v/>
      </c>
      <c r="EQ30" s="719" t="str">
        <f t="shared" si="89"/>
        <v/>
      </c>
      <c r="ER30" s="719" t="str">
        <f t="shared" si="90"/>
        <v/>
      </c>
      <c r="EU30" s="33">
        <v>6</v>
      </c>
      <c r="EV30" s="735" t="str">
        <f t="shared" si="91"/>
        <v>Crítico</v>
      </c>
      <c r="EW30" s="741">
        <f t="shared" si="92"/>
        <v>1</v>
      </c>
      <c r="EX30" s="121" t="str">
        <f t="shared" si="93"/>
        <v>Crítico</v>
      </c>
      <c r="EY30" s="124">
        <f t="shared" si="229"/>
        <v>1</v>
      </c>
      <c r="EZ30" s="121" t="str">
        <f t="shared" si="94"/>
        <v>Crítico</v>
      </c>
      <c r="FA30" s="122">
        <f t="shared" si="95"/>
        <v>1</v>
      </c>
      <c r="FB30" s="18">
        <f t="shared" si="96"/>
        <v>0</v>
      </c>
      <c r="FC30" s="254" t="str">
        <f t="shared" si="97"/>
        <v/>
      </c>
      <c r="FD30" s="76" t="str">
        <f t="shared" si="230"/>
        <v/>
      </c>
      <c r="FE30" s="18">
        <f t="shared" si="231"/>
        <v>0</v>
      </c>
      <c r="FF30" s="703">
        <f t="shared" si="98"/>
        <v>0</v>
      </c>
      <c r="FG30" s="702">
        <f t="shared" si="99"/>
        <v>0</v>
      </c>
      <c r="FH30" s="19">
        <f t="shared" si="232"/>
        <v>0</v>
      </c>
      <c r="FI30" s="238" t="str">
        <f t="shared" si="233"/>
        <v/>
      </c>
      <c r="FJ30" s="701" t="str">
        <f t="shared" si="100"/>
        <v/>
      </c>
      <c r="FK30" s="66">
        <f t="shared" si="101"/>
        <v>0</v>
      </c>
      <c r="FL30" s="701" t="str">
        <f t="shared" si="102"/>
        <v/>
      </c>
      <c r="FM30" s="146" t="str">
        <f t="shared" si="103"/>
        <v/>
      </c>
      <c r="FN30" s="701" t="str">
        <f t="shared" si="104"/>
        <v/>
      </c>
      <c r="FO30" s="66">
        <f t="shared" si="105"/>
        <v>0</v>
      </c>
      <c r="FP30" s="701" t="str">
        <f t="shared" si="106"/>
        <v/>
      </c>
      <c r="FQ30" s="146" t="str">
        <f t="shared" si="107"/>
        <v/>
      </c>
      <c r="FR30" s="701" t="str">
        <f t="shared" si="108"/>
        <v/>
      </c>
      <c r="FS30" s="66">
        <f t="shared" si="109"/>
        <v>0</v>
      </c>
      <c r="FT30" s="701" t="str">
        <f t="shared" si="110"/>
        <v/>
      </c>
      <c r="FU30" s="146" t="str">
        <f t="shared" si="111"/>
        <v/>
      </c>
      <c r="FV30" s="701" t="str">
        <f t="shared" si="112"/>
        <v/>
      </c>
      <c r="FW30" s="66">
        <f t="shared" si="113"/>
        <v>0</v>
      </c>
      <c r="FX30" s="701" t="str">
        <f t="shared" si="114"/>
        <v/>
      </c>
      <c r="FY30" s="146" t="str">
        <f t="shared" si="115"/>
        <v/>
      </c>
      <c r="FZ30" s="701" t="str">
        <f t="shared" si="116"/>
        <v/>
      </c>
      <c r="GA30" s="66">
        <f t="shared" si="117"/>
        <v>0</v>
      </c>
      <c r="GB30" s="701" t="str">
        <f t="shared" si="118"/>
        <v/>
      </c>
      <c r="GC30" s="146" t="str">
        <f t="shared" si="119"/>
        <v/>
      </c>
      <c r="GD30" s="701" t="str">
        <f t="shared" si="120"/>
        <v/>
      </c>
      <c r="GE30" s="66">
        <f t="shared" si="121"/>
        <v>0</v>
      </c>
      <c r="GF30" s="701" t="str">
        <f t="shared" si="122"/>
        <v/>
      </c>
      <c r="GG30" s="146" t="str">
        <f t="shared" si="123"/>
        <v/>
      </c>
      <c r="GH30" s="701" t="str">
        <f t="shared" si="124"/>
        <v/>
      </c>
      <c r="GI30" s="66">
        <f t="shared" si="125"/>
        <v>0</v>
      </c>
      <c r="GJ30" s="701" t="str">
        <f t="shared" si="126"/>
        <v/>
      </c>
      <c r="GK30" s="146" t="str">
        <f t="shared" si="127"/>
        <v/>
      </c>
      <c r="GL30" s="701" t="str">
        <f t="shared" si="128"/>
        <v/>
      </c>
      <c r="GM30" s="66">
        <f t="shared" si="129"/>
        <v>0</v>
      </c>
      <c r="GN30" s="701" t="str">
        <f t="shared" si="130"/>
        <v/>
      </c>
      <c r="GO30" s="146" t="str">
        <f t="shared" si="131"/>
        <v/>
      </c>
      <c r="GP30" s="701" t="str">
        <f t="shared" si="132"/>
        <v/>
      </c>
      <c r="GQ30" s="66">
        <f t="shared" si="133"/>
        <v>0</v>
      </c>
      <c r="GR30" s="701" t="str">
        <f t="shared" si="134"/>
        <v/>
      </c>
      <c r="GS30" s="146" t="str">
        <f t="shared" si="135"/>
        <v/>
      </c>
      <c r="GT30" s="701" t="str">
        <f t="shared" si="136"/>
        <v/>
      </c>
      <c r="GU30" s="66">
        <f t="shared" si="137"/>
        <v>0</v>
      </c>
      <c r="GV30" s="701" t="str">
        <f t="shared" si="138"/>
        <v/>
      </c>
      <c r="GW30" s="146" t="str">
        <f t="shared" si="139"/>
        <v/>
      </c>
      <c r="GX30" s="701" t="str">
        <f t="shared" si="140"/>
        <v/>
      </c>
      <c r="GY30" s="66">
        <f t="shared" si="141"/>
        <v>0</v>
      </c>
      <c r="GZ30" s="701" t="str">
        <f t="shared" si="142"/>
        <v/>
      </c>
      <c r="HA30" s="146" t="str">
        <f t="shared" si="143"/>
        <v/>
      </c>
      <c r="HB30" s="701" t="str">
        <f t="shared" si="144"/>
        <v/>
      </c>
      <c r="HC30" s="66">
        <f t="shared" si="145"/>
        <v>0</v>
      </c>
      <c r="HD30" s="701" t="str">
        <f t="shared" si="146"/>
        <v/>
      </c>
      <c r="HE30" s="146" t="str">
        <f t="shared" si="147"/>
        <v/>
      </c>
      <c r="HF30" s="701" t="str">
        <f t="shared" si="148"/>
        <v/>
      </c>
      <c r="HG30" s="66">
        <f t="shared" si="149"/>
        <v>0</v>
      </c>
      <c r="HH30" s="701" t="str">
        <f t="shared" si="150"/>
        <v/>
      </c>
      <c r="HI30" s="146" t="str">
        <f t="shared" si="151"/>
        <v/>
      </c>
      <c r="HJ30" s="701" t="str">
        <f t="shared" si="152"/>
        <v/>
      </c>
      <c r="HK30" s="66">
        <f t="shared" si="153"/>
        <v>0</v>
      </c>
      <c r="HL30" s="701" t="str">
        <f t="shared" si="154"/>
        <v/>
      </c>
      <c r="HM30" s="146" t="str">
        <f t="shared" si="155"/>
        <v/>
      </c>
      <c r="HN30" s="701" t="str">
        <f t="shared" si="156"/>
        <v/>
      </c>
      <c r="HO30" s="66">
        <f t="shared" si="157"/>
        <v>0</v>
      </c>
      <c r="HP30" s="701" t="str">
        <f t="shared" si="158"/>
        <v/>
      </c>
      <c r="HQ30" s="146" t="str">
        <f t="shared" si="159"/>
        <v/>
      </c>
      <c r="HR30" s="701" t="str">
        <f t="shared" si="160"/>
        <v/>
      </c>
      <c r="HS30" s="66">
        <f t="shared" si="161"/>
        <v>0</v>
      </c>
      <c r="HT30" s="701" t="str">
        <f t="shared" si="162"/>
        <v/>
      </c>
      <c r="HU30" s="146" t="str">
        <f t="shared" si="163"/>
        <v/>
      </c>
      <c r="HV30" s="701" t="str">
        <f t="shared" si="164"/>
        <v/>
      </c>
      <c r="HW30" s="66">
        <f t="shared" si="165"/>
        <v>0</v>
      </c>
      <c r="HX30" s="701" t="str">
        <f t="shared" si="166"/>
        <v/>
      </c>
      <c r="HY30" s="146" t="str">
        <f t="shared" si="167"/>
        <v/>
      </c>
      <c r="HZ30" s="701" t="str">
        <f t="shared" si="168"/>
        <v/>
      </c>
      <c r="IA30" s="66">
        <f t="shared" si="169"/>
        <v>0</v>
      </c>
      <c r="IB30" s="701" t="str">
        <f t="shared" si="170"/>
        <v/>
      </c>
      <c r="IC30" s="146" t="str">
        <f t="shared" si="171"/>
        <v/>
      </c>
      <c r="ID30" s="701" t="str">
        <f t="shared" si="172"/>
        <v/>
      </c>
      <c r="IE30" s="66">
        <f t="shared" si="173"/>
        <v>0</v>
      </c>
      <c r="IF30" s="701" t="str">
        <f t="shared" si="174"/>
        <v/>
      </c>
      <c r="IG30" s="146" t="str">
        <f t="shared" si="175"/>
        <v/>
      </c>
      <c r="IH30" s="701" t="str">
        <f t="shared" si="176"/>
        <v/>
      </c>
      <c r="II30" s="66">
        <f t="shared" si="177"/>
        <v>0</v>
      </c>
      <c r="IJ30" s="701" t="str">
        <f t="shared" si="178"/>
        <v/>
      </c>
      <c r="IK30" s="146" t="str">
        <f t="shared" si="179"/>
        <v/>
      </c>
      <c r="IL30" s="701" t="str">
        <f t="shared" si="180"/>
        <v/>
      </c>
      <c r="IM30" s="66">
        <f t="shared" si="181"/>
        <v>0</v>
      </c>
      <c r="IN30" s="701" t="str">
        <f t="shared" si="182"/>
        <v/>
      </c>
      <c r="IO30" s="146" t="str">
        <f t="shared" si="183"/>
        <v/>
      </c>
      <c r="IP30" s="701" t="str">
        <f t="shared" si="184"/>
        <v/>
      </c>
      <c r="IQ30" s="66">
        <f t="shared" si="185"/>
        <v>0</v>
      </c>
      <c r="IR30" s="701" t="str">
        <f t="shared" si="186"/>
        <v/>
      </c>
      <c r="IS30" s="146" t="str">
        <f t="shared" si="187"/>
        <v/>
      </c>
      <c r="IT30" s="701" t="str">
        <f t="shared" si="188"/>
        <v/>
      </c>
      <c r="IU30" s="66">
        <f t="shared" si="189"/>
        <v>0</v>
      </c>
      <c r="IV30" s="701" t="str">
        <f t="shared" si="190"/>
        <v/>
      </c>
      <c r="IW30" s="146" t="str">
        <f t="shared" si="191"/>
        <v/>
      </c>
      <c r="IX30" s="701" t="str">
        <f t="shared" si="192"/>
        <v/>
      </c>
      <c r="IY30" s="66">
        <f t="shared" si="193"/>
        <v>0</v>
      </c>
    </row>
    <row r="31" spans="1:262" s="3" customFormat="1" ht="18" customHeight="1" thickTop="1" thickBot="1" x14ac:dyDescent="0.35">
      <c r="A31" s="1468" t="str">
        <f t="shared" si="194"/>
        <v/>
      </c>
      <c r="B31" s="780" t="str">
        <f t="shared" si="6"/>
        <v/>
      </c>
      <c r="D31" s="525" t="str">
        <f>IF(AND(H31&lt;=$AU$7,OR(LEN(F31)&gt;1,LEN(G31)&gt;1),OR(LEFT(F31,1)="s",LEFT(G31,1)="s"),OR(RIGHT(G31,1)="0",RIGHT(G31,1)="1",RIGHT(G31,1)="2",RIGHT(G31,1)="3",RIGHT(G31,1)="4",RIGHT(G31,1)="5",RIGHT(G31,1)="6",RIGHT(G31,1)="7",RIGHT(G31,1)="8",RIGHT(G31,1)="9",RIGHT(F31,1)="0",RIGHT(F31,1)="1",RIGHT(F31,1)="2",RIGHT(F31,1)="3",RIGHT(F31,1)="4",RIGHT(F31,1)="5",RIGHT(F31,1)="6",RIGHT(F31,1)="7",RIGHT(F31,1)="8",RIGHT(F31,1)="9")),"s","")</f>
        <v/>
      </c>
      <c r="E31" s="522" t="str">
        <f>IF(DO60="","",SUM($DO$54:DO60))</f>
        <v/>
      </c>
      <c r="F31" s="843"/>
      <c r="G31" s="844"/>
      <c r="H31" s="1231"/>
      <c r="I31" s="1228"/>
      <c r="J31" s="1229"/>
      <c r="K31" s="1230"/>
      <c r="L31" s="1270" t="str">
        <f>IF('Quadro 2'!G19="","",'Quadro 2'!G19)</f>
        <v/>
      </c>
      <c r="M31" s="1270" t="str">
        <f t="shared" si="195"/>
        <v/>
      </c>
      <c r="N31" s="1459" t="str">
        <f t="shared" si="196"/>
        <v/>
      </c>
      <c r="O31" s="1480" t="str">
        <f t="shared" si="197"/>
        <v/>
      </c>
      <c r="P31" s="1271" t="str">
        <f t="shared" si="198"/>
        <v/>
      </c>
      <c r="Q31" s="1489" t="str">
        <f t="shared" si="199"/>
        <v/>
      </c>
      <c r="R31" s="1426" t="str">
        <f t="shared" si="7"/>
        <v/>
      </c>
      <c r="S31" s="848" t="str">
        <f t="shared" si="8"/>
        <v/>
      </c>
      <c r="T31" s="58" t="str">
        <f t="shared" si="9"/>
        <v/>
      </c>
      <c r="U31" s="1133"/>
      <c r="V31" s="143" t="str">
        <f t="shared" si="200"/>
        <v/>
      </c>
      <c r="W31" s="849" t="str">
        <f>IF(OR(H31="",V31="",V31=0),"",IF($V31&gt;'Quadro 1'!$G$23,'Quadro 1'!$G$23,IF($V31&lt;'Quadro 1'!$G$10,'Quadro 1'!$G$10,MIN($X31,$Y31))))</f>
        <v/>
      </c>
      <c r="X31" s="850" t="str">
        <f>IF($V31&lt;='Quadro 1'!$G$10,'Quadro 1'!$G$10,IF($V31&lt;='Quadro 1'!$G$11,'Quadro 1'!$G$11,IF($V31&lt;='Quadro 1'!$G$12,'Quadro 1'!$G$12,IF($V31&lt;='Quadro 1'!$G$13,'Quadro 1'!$G$13,IF($V31&lt;='Quadro 1'!$G$14,'Quadro 1'!$G$14,IF($V31&lt;='Quadro 1'!$G$15,'Quadro 1'!$G$15,IF($V31&lt;='Quadro 1'!$G$16,'Quadro 1'!$G$16,"")))))))</f>
        <v/>
      </c>
      <c r="Y31" s="851" t="str">
        <f>IF(OR(V31="",V31=0),"",IF($V31&lt;='Quadro 1'!$G$17,'Quadro 1'!$G$17,IF($V31&lt;='Quadro 1'!$G$18,'Quadro 1'!$G$18,IF($V31&lt;='Quadro 1'!$G$19,'Quadro 1'!$G$19,IF($V31&lt;='Quadro 1'!$G$20,'Quadro 1'!$G$20,IF($V31&lt;='Quadro 1'!$G$21,'Quadro 1'!$G$21,IF($V31&lt;='Quadro 1'!$G$22,'Quadro 1'!$G$22,IF($V31&lt;='Quadro 1'!$G$23,'Quadro 1'!$G$23,'Quadro 1'!$G$23))))))))</f>
        <v/>
      </c>
      <c r="Z31" s="852" t="str">
        <f>IF(W31="","",LOOKUP(W31,'Quadro 1'!$G$9:$G$23,'Quadro 1'!$H$9:$H$23))</f>
        <v/>
      </c>
      <c r="AA31" s="1417" t="str">
        <f>IF(W31="","",LOOKUP(W31,'Quadro 1'!$G$9:$G$23,'Quadro 1'!$D$9:$D$23))</f>
        <v/>
      </c>
      <c r="AB31" s="853" t="str">
        <f>IF(W31="","",LOOKUP(W31,'Quadro 1'!$G$9:$G$23,'Quadro 1'!$E$9:$E$23))</f>
        <v/>
      </c>
      <c r="AC31" s="1272" t="str">
        <f t="shared" si="201"/>
        <v/>
      </c>
      <c r="AD31" s="1274" t="str">
        <f t="shared" si="10"/>
        <v/>
      </c>
      <c r="AE31" s="1392" t="str">
        <f t="shared" si="202"/>
        <v/>
      </c>
      <c r="AF31" s="1395" t="str">
        <f t="shared" si="203"/>
        <v/>
      </c>
      <c r="AG31" s="1396" t="str">
        <f t="shared" si="204"/>
        <v/>
      </c>
      <c r="AH31" s="1398" t="str">
        <f t="shared" si="11"/>
        <v/>
      </c>
      <c r="AI31" s="1490" t="str">
        <f t="shared" si="235"/>
        <v/>
      </c>
      <c r="AJ31" s="1502" t="str">
        <f t="shared" si="239"/>
        <v/>
      </c>
      <c r="AK31" s="1503"/>
      <c r="AL31" s="1503"/>
      <c r="AM31" s="1504"/>
      <c r="AN31" s="1275" t="str">
        <f t="shared" si="12"/>
        <v/>
      </c>
      <c r="AO31" s="1502" t="str">
        <f t="shared" si="13"/>
        <v/>
      </c>
      <c r="AP31" s="1507"/>
      <c r="AQ31" s="1504"/>
      <c r="AR31" s="846"/>
      <c r="AS31" s="1258">
        <f t="shared" si="206"/>
        <v>0</v>
      </c>
      <c r="AT31" s="1256">
        <f t="shared" si="207"/>
        <v>0</v>
      </c>
      <c r="AU31" s="1381">
        <f t="shared" si="208"/>
        <v>1</v>
      </c>
      <c r="AV31" s="157" t="str">
        <f t="shared" si="14"/>
        <v/>
      </c>
      <c r="AW31" s="87" t="str">
        <f t="shared" si="236"/>
        <v/>
      </c>
      <c r="AX31" s="87" t="str">
        <f t="shared" si="15"/>
        <v/>
      </c>
      <c r="AY31" s="1341" t="str">
        <f t="shared" si="209"/>
        <v/>
      </c>
      <c r="AZ31" s="701">
        <f t="shared" si="210"/>
        <v>1</v>
      </c>
      <c r="BA31" s="1338" t="str">
        <f>IF(AND(FF31=$EV$53,B31="c"),BD31,IF(AND(FF31=$EV$53,B31="nc"),"",""))</f>
        <v/>
      </c>
      <c r="BB31" s="1335" t="str">
        <f t="shared" si="212"/>
        <v/>
      </c>
      <c r="BC31" s="86" t="str">
        <f t="shared" si="213"/>
        <v/>
      </c>
      <c r="BD31" s="701">
        <f t="shared" si="214"/>
        <v>1</v>
      </c>
      <c r="BE31" s="1273" t="str">
        <f t="shared" si="215"/>
        <v/>
      </c>
      <c r="BF31" s="86" t="str">
        <f t="shared" si="16"/>
        <v/>
      </c>
      <c r="BG31" s="57" t="str">
        <f t="shared" si="17"/>
        <v/>
      </c>
      <c r="BH31" s="1329">
        <f t="shared" si="216"/>
        <v>0</v>
      </c>
      <c r="BI31" s="88">
        <f t="shared" si="217"/>
        <v>0</v>
      </c>
      <c r="BJ31" s="88" t="str">
        <f t="shared" si="18"/>
        <v/>
      </c>
      <c r="BK31" s="88" t="str">
        <f t="shared" si="19"/>
        <v/>
      </c>
      <c r="BL31" s="88" t="str">
        <f t="shared" si="20"/>
        <v/>
      </c>
      <c r="BM31" s="88" t="str">
        <f t="shared" si="21"/>
        <v/>
      </c>
      <c r="BN31" s="88" t="str">
        <f t="shared" si="22"/>
        <v/>
      </c>
      <c r="BO31" s="88" t="str">
        <f t="shared" si="23"/>
        <v/>
      </c>
      <c r="BP31" s="88" t="str">
        <f t="shared" si="24"/>
        <v/>
      </c>
      <c r="BQ31" s="88" t="str">
        <f t="shared" si="25"/>
        <v/>
      </c>
      <c r="BR31" s="88" t="str">
        <f t="shared" si="26"/>
        <v/>
      </c>
      <c r="BS31" s="88" t="str">
        <f t="shared" si="27"/>
        <v/>
      </c>
      <c r="BT31" s="88" t="str">
        <f t="shared" si="28"/>
        <v/>
      </c>
      <c r="BU31" s="88" t="str">
        <f t="shared" si="29"/>
        <v/>
      </c>
      <c r="BV31" s="88" t="str">
        <f t="shared" si="30"/>
        <v/>
      </c>
      <c r="BW31" s="88" t="str">
        <f t="shared" si="31"/>
        <v/>
      </c>
      <c r="BX31" s="88" t="str">
        <f t="shared" si="32"/>
        <v/>
      </c>
      <c r="BY31" s="88" t="str">
        <f t="shared" si="33"/>
        <v/>
      </c>
      <c r="BZ31" s="88" t="str">
        <f t="shared" si="34"/>
        <v/>
      </c>
      <c r="CA31" s="88" t="str">
        <f t="shared" si="35"/>
        <v/>
      </c>
      <c r="CB31" s="88" t="str">
        <f t="shared" si="36"/>
        <v/>
      </c>
      <c r="CC31" s="88" t="str">
        <f t="shared" si="37"/>
        <v/>
      </c>
      <c r="CD31" s="88" t="str">
        <f t="shared" si="38"/>
        <v/>
      </c>
      <c r="CE31" s="88" t="str">
        <f t="shared" si="39"/>
        <v/>
      </c>
      <c r="CF31" s="88" t="str">
        <f t="shared" si="40"/>
        <v/>
      </c>
      <c r="CG31" s="88" t="str">
        <f t="shared" si="41"/>
        <v/>
      </c>
      <c r="CH31" s="88" t="str">
        <f t="shared" si="42"/>
        <v/>
      </c>
      <c r="CI31" s="790" t="str">
        <f t="shared" si="43"/>
        <v>0</v>
      </c>
      <c r="CJ31" s="791">
        <f t="shared" si="44"/>
        <v>0</v>
      </c>
      <c r="CK31" s="784" t="str">
        <f t="shared" si="45"/>
        <v>NA</v>
      </c>
      <c r="CL31" s="784" t="str">
        <f t="shared" si="46"/>
        <v/>
      </c>
      <c r="CM31" s="784" t="str">
        <f t="shared" si="218"/>
        <v/>
      </c>
      <c r="CN31" s="790" t="str">
        <f t="shared" si="47"/>
        <v/>
      </c>
      <c r="CO31" s="790" t="str">
        <f t="shared" si="48"/>
        <v/>
      </c>
      <c r="CP31" s="784" t="str">
        <f t="shared" si="49"/>
        <v/>
      </c>
      <c r="CQ31" s="790" t="str">
        <f t="shared" si="50"/>
        <v/>
      </c>
      <c r="CR31" s="524">
        <f t="shared" si="51"/>
        <v>0</v>
      </c>
      <c r="CS31" s="257" t="str">
        <f t="shared" si="219"/>
        <v/>
      </c>
      <c r="CT31" s="496">
        <f t="shared" si="238"/>
        <v>155.1</v>
      </c>
      <c r="CU31" s="496">
        <f t="shared" si="237"/>
        <v>155.1</v>
      </c>
      <c r="CV31" s="496">
        <f t="shared" si="220"/>
        <v>155.1</v>
      </c>
      <c r="CW31" s="495" t="str">
        <f t="shared" si="52"/>
        <v/>
      </c>
      <c r="CX31" s="496" t="str">
        <f t="shared" si="53"/>
        <v/>
      </c>
      <c r="CY31" s="496" t="str">
        <f t="shared" si="221"/>
        <v/>
      </c>
      <c r="CZ31" s="1456">
        <f t="shared" si="222"/>
        <v>1</v>
      </c>
      <c r="DA31" s="157" t="str">
        <f t="shared" si="223"/>
        <v/>
      </c>
      <c r="DB31" s="213" t="str">
        <f t="shared" si="224"/>
        <v/>
      </c>
      <c r="DC31" s="213" t="str">
        <f t="shared" si="225"/>
        <v/>
      </c>
      <c r="DD31" s="157" t="str">
        <f t="shared" si="54"/>
        <v/>
      </c>
      <c r="DE31" s="157" t="str">
        <f t="shared" si="55"/>
        <v/>
      </c>
      <c r="DF31" s="157" t="str">
        <f t="shared" si="56"/>
        <v/>
      </c>
      <c r="DG31" s="157" t="str">
        <f t="shared" si="57"/>
        <v/>
      </c>
      <c r="DH31" s="157" t="str">
        <f t="shared" si="58"/>
        <v/>
      </c>
      <c r="DI31" s="157" t="str">
        <f t="shared" si="59"/>
        <v/>
      </c>
      <c r="DJ31" s="157" t="str">
        <f t="shared" si="60"/>
        <v/>
      </c>
      <c r="DK31" s="157" t="str">
        <f t="shared" si="61"/>
        <v/>
      </c>
      <c r="DL31" s="157" t="str">
        <f t="shared" si="62"/>
        <v/>
      </c>
      <c r="DM31" s="157" t="str">
        <f t="shared" si="63"/>
        <v/>
      </c>
      <c r="DN31" s="33">
        <v>7</v>
      </c>
      <c r="DO31" s="1466" t="str">
        <f t="shared" si="226"/>
        <v/>
      </c>
      <c r="DP31" s="1014" t="str">
        <f t="shared" si="64"/>
        <v/>
      </c>
      <c r="DQ31" s="1026" t="str">
        <f t="shared" si="227"/>
        <v/>
      </c>
      <c r="DR31" s="1026" t="str">
        <f t="shared" si="228"/>
        <v/>
      </c>
      <c r="DS31" s="93" t="str">
        <f t="shared" si="65"/>
        <v/>
      </c>
      <c r="DT31" s="213" t="str">
        <f t="shared" si="66"/>
        <v/>
      </c>
      <c r="DU31" s="144" t="str">
        <f t="shared" si="67"/>
        <v/>
      </c>
      <c r="DV31" s="144" t="str">
        <f t="shared" si="68"/>
        <v/>
      </c>
      <c r="DW31" s="144" t="str">
        <f t="shared" si="69"/>
        <v/>
      </c>
      <c r="DX31" s="144" t="str">
        <f t="shared" si="70"/>
        <v/>
      </c>
      <c r="DY31" s="144" t="str">
        <f t="shared" si="71"/>
        <v/>
      </c>
      <c r="DZ31" s="144" t="str">
        <f t="shared" si="72"/>
        <v/>
      </c>
      <c r="EA31" s="144" t="str">
        <f t="shared" si="73"/>
        <v/>
      </c>
      <c r="EB31" s="144" t="str">
        <f t="shared" si="74"/>
        <v/>
      </c>
      <c r="EC31" s="144" t="str">
        <f t="shared" si="75"/>
        <v/>
      </c>
      <c r="ED31" s="144" t="str">
        <f t="shared" si="76"/>
        <v/>
      </c>
      <c r="EE31" s="144" t="str">
        <f t="shared" si="77"/>
        <v/>
      </c>
      <c r="EF31" s="144" t="str">
        <f t="shared" si="78"/>
        <v/>
      </c>
      <c r="EG31" s="144" t="str">
        <f t="shared" si="79"/>
        <v/>
      </c>
      <c r="EH31" s="144" t="str">
        <f t="shared" si="80"/>
        <v/>
      </c>
      <c r="EI31" s="144" t="str">
        <f t="shared" si="81"/>
        <v/>
      </c>
      <c r="EJ31" s="144" t="str">
        <f t="shared" si="82"/>
        <v/>
      </c>
      <c r="EK31" s="144" t="str">
        <f t="shared" si="83"/>
        <v/>
      </c>
      <c r="EL31" s="144" t="str">
        <f t="shared" si="84"/>
        <v/>
      </c>
      <c r="EM31" s="144" t="str">
        <f t="shared" si="85"/>
        <v/>
      </c>
      <c r="EN31" s="719" t="str">
        <f t="shared" si="86"/>
        <v/>
      </c>
      <c r="EO31" s="719" t="str">
        <f t="shared" si="87"/>
        <v/>
      </c>
      <c r="EP31" s="719" t="str">
        <f t="shared" si="88"/>
        <v/>
      </c>
      <c r="EQ31" s="719" t="str">
        <f t="shared" si="89"/>
        <v/>
      </c>
      <c r="ER31" s="719" t="str">
        <f t="shared" si="90"/>
        <v/>
      </c>
      <c r="EU31" s="33">
        <v>7</v>
      </c>
      <c r="EV31" s="735" t="str">
        <f t="shared" si="91"/>
        <v>Crítico</v>
      </c>
      <c r="EW31" s="741">
        <f t="shared" si="92"/>
        <v>1</v>
      </c>
      <c r="EX31" s="121" t="str">
        <f t="shared" si="93"/>
        <v>Crítico</v>
      </c>
      <c r="EY31" s="124">
        <f t="shared" si="229"/>
        <v>1</v>
      </c>
      <c r="EZ31" s="121" t="str">
        <f t="shared" si="94"/>
        <v>Crítico</v>
      </c>
      <c r="FA31" s="122">
        <f t="shared" si="95"/>
        <v>1</v>
      </c>
      <c r="FB31" s="18">
        <f t="shared" si="96"/>
        <v>0</v>
      </c>
      <c r="FC31" s="254" t="str">
        <f t="shared" si="97"/>
        <v/>
      </c>
      <c r="FD31" s="76" t="str">
        <f t="shared" si="230"/>
        <v/>
      </c>
      <c r="FE31" s="18">
        <f t="shared" si="231"/>
        <v>0</v>
      </c>
      <c r="FF31" s="703">
        <f t="shared" si="98"/>
        <v>0</v>
      </c>
      <c r="FG31" s="702">
        <f t="shared" si="99"/>
        <v>0</v>
      </c>
      <c r="FH31" s="19">
        <f t="shared" si="232"/>
        <v>0</v>
      </c>
      <c r="FI31" s="238" t="str">
        <f t="shared" si="233"/>
        <v/>
      </c>
      <c r="FJ31" s="701" t="str">
        <f t="shared" si="100"/>
        <v/>
      </c>
      <c r="FK31" s="66">
        <f t="shared" si="101"/>
        <v>0</v>
      </c>
      <c r="FL31" s="701" t="str">
        <f t="shared" si="102"/>
        <v/>
      </c>
      <c r="FM31" s="146" t="str">
        <f t="shared" si="103"/>
        <v/>
      </c>
      <c r="FN31" s="701" t="str">
        <f t="shared" si="104"/>
        <v/>
      </c>
      <c r="FO31" s="66">
        <f t="shared" si="105"/>
        <v>0</v>
      </c>
      <c r="FP31" s="701" t="str">
        <f t="shared" si="106"/>
        <v/>
      </c>
      <c r="FQ31" s="146" t="str">
        <f t="shared" si="107"/>
        <v/>
      </c>
      <c r="FR31" s="701" t="str">
        <f t="shared" si="108"/>
        <v/>
      </c>
      <c r="FS31" s="66">
        <f t="shared" si="109"/>
        <v>0</v>
      </c>
      <c r="FT31" s="701" t="str">
        <f t="shared" si="110"/>
        <v/>
      </c>
      <c r="FU31" s="146" t="str">
        <f t="shared" si="111"/>
        <v/>
      </c>
      <c r="FV31" s="701" t="str">
        <f t="shared" si="112"/>
        <v/>
      </c>
      <c r="FW31" s="66">
        <f t="shared" si="113"/>
        <v>0</v>
      </c>
      <c r="FX31" s="701" t="str">
        <f t="shared" si="114"/>
        <v/>
      </c>
      <c r="FY31" s="146" t="str">
        <f t="shared" si="115"/>
        <v/>
      </c>
      <c r="FZ31" s="701" t="str">
        <f t="shared" si="116"/>
        <v/>
      </c>
      <c r="GA31" s="66">
        <f t="shared" si="117"/>
        <v>0</v>
      </c>
      <c r="GB31" s="701" t="str">
        <f t="shared" si="118"/>
        <v/>
      </c>
      <c r="GC31" s="146" t="str">
        <f t="shared" si="119"/>
        <v/>
      </c>
      <c r="GD31" s="701" t="str">
        <f t="shared" si="120"/>
        <v/>
      </c>
      <c r="GE31" s="66">
        <f t="shared" si="121"/>
        <v>0</v>
      </c>
      <c r="GF31" s="701" t="str">
        <f t="shared" si="122"/>
        <v/>
      </c>
      <c r="GG31" s="146" t="str">
        <f t="shared" si="123"/>
        <v/>
      </c>
      <c r="GH31" s="701" t="str">
        <f t="shared" si="124"/>
        <v/>
      </c>
      <c r="GI31" s="66">
        <f t="shared" si="125"/>
        <v>0</v>
      </c>
      <c r="GJ31" s="701" t="str">
        <f t="shared" si="126"/>
        <v/>
      </c>
      <c r="GK31" s="146" t="str">
        <f t="shared" si="127"/>
        <v/>
      </c>
      <c r="GL31" s="701" t="str">
        <f t="shared" si="128"/>
        <v/>
      </c>
      <c r="GM31" s="66">
        <f t="shared" si="129"/>
        <v>0</v>
      </c>
      <c r="GN31" s="701" t="str">
        <f t="shared" si="130"/>
        <v/>
      </c>
      <c r="GO31" s="146" t="str">
        <f t="shared" si="131"/>
        <v/>
      </c>
      <c r="GP31" s="701" t="str">
        <f t="shared" si="132"/>
        <v/>
      </c>
      <c r="GQ31" s="66">
        <f t="shared" si="133"/>
        <v>0</v>
      </c>
      <c r="GR31" s="701" t="str">
        <f t="shared" si="134"/>
        <v/>
      </c>
      <c r="GS31" s="146" t="str">
        <f t="shared" si="135"/>
        <v/>
      </c>
      <c r="GT31" s="701" t="str">
        <f t="shared" si="136"/>
        <v/>
      </c>
      <c r="GU31" s="66">
        <f t="shared" si="137"/>
        <v>0</v>
      </c>
      <c r="GV31" s="701" t="str">
        <f t="shared" si="138"/>
        <v/>
      </c>
      <c r="GW31" s="146" t="str">
        <f t="shared" si="139"/>
        <v/>
      </c>
      <c r="GX31" s="701" t="str">
        <f t="shared" si="140"/>
        <v/>
      </c>
      <c r="GY31" s="66">
        <f t="shared" si="141"/>
        <v>0</v>
      </c>
      <c r="GZ31" s="701" t="str">
        <f t="shared" si="142"/>
        <v/>
      </c>
      <c r="HA31" s="146" t="str">
        <f t="shared" si="143"/>
        <v/>
      </c>
      <c r="HB31" s="701" t="str">
        <f t="shared" si="144"/>
        <v/>
      </c>
      <c r="HC31" s="66">
        <f t="shared" si="145"/>
        <v>0</v>
      </c>
      <c r="HD31" s="701" t="str">
        <f t="shared" si="146"/>
        <v/>
      </c>
      <c r="HE31" s="146" t="str">
        <f t="shared" si="147"/>
        <v/>
      </c>
      <c r="HF31" s="701" t="str">
        <f t="shared" si="148"/>
        <v/>
      </c>
      <c r="HG31" s="66">
        <f t="shared" si="149"/>
        <v>0</v>
      </c>
      <c r="HH31" s="701" t="str">
        <f t="shared" si="150"/>
        <v/>
      </c>
      <c r="HI31" s="146" t="str">
        <f t="shared" si="151"/>
        <v/>
      </c>
      <c r="HJ31" s="701" t="str">
        <f t="shared" si="152"/>
        <v/>
      </c>
      <c r="HK31" s="66">
        <f t="shared" si="153"/>
        <v>0</v>
      </c>
      <c r="HL31" s="701" t="str">
        <f t="shared" si="154"/>
        <v/>
      </c>
      <c r="HM31" s="146" t="str">
        <f t="shared" si="155"/>
        <v/>
      </c>
      <c r="HN31" s="701" t="str">
        <f t="shared" si="156"/>
        <v/>
      </c>
      <c r="HO31" s="66">
        <f t="shared" si="157"/>
        <v>0</v>
      </c>
      <c r="HP31" s="701" t="str">
        <f t="shared" si="158"/>
        <v/>
      </c>
      <c r="HQ31" s="146" t="str">
        <f t="shared" si="159"/>
        <v/>
      </c>
      <c r="HR31" s="701" t="str">
        <f t="shared" si="160"/>
        <v/>
      </c>
      <c r="HS31" s="66">
        <f t="shared" si="161"/>
        <v>0</v>
      </c>
      <c r="HT31" s="701" t="str">
        <f t="shared" si="162"/>
        <v/>
      </c>
      <c r="HU31" s="146" t="str">
        <f t="shared" si="163"/>
        <v/>
      </c>
      <c r="HV31" s="701" t="str">
        <f t="shared" si="164"/>
        <v/>
      </c>
      <c r="HW31" s="66">
        <f t="shared" si="165"/>
        <v>0</v>
      </c>
      <c r="HX31" s="701" t="str">
        <f t="shared" si="166"/>
        <v/>
      </c>
      <c r="HY31" s="146" t="str">
        <f t="shared" si="167"/>
        <v/>
      </c>
      <c r="HZ31" s="701" t="str">
        <f t="shared" si="168"/>
        <v/>
      </c>
      <c r="IA31" s="66">
        <f t="shared" si="169"/>
        <v>0</v>
      </c>
      <c r="IB31" s="701" t="str">
        <f t="shared" si="170"/>
        <v/>
      </c>
      <c r="IC31" s="146" t="str">
        <f t="shared" si="171"/>
        <v/>
      </c>
      <c r="ID31" s="701" t="str">
        <f t="shared" si="172"/>
        <v/>
      </c>
      <c r="IE31" s="66">
        <f t="shared" si="173"/>
        <v>0</v>
      </c>
      <c r="IF31" s="701" t="str">
        <f t="shared" si="174"/>
        <v/>
      </c>
      <c r="IG31" s="146" t="str">
        <f t="shared" si="175"/>
        <v/>
      </c>
      <c r="IH31" s="701" t="str">
        <f t="shared" si="176"/>
        <v/>
      </c>
      <c r="II31" s="66">
        <f t="shared" si="177"/>
        <v>0</v>
      </c>
      <c r="IJ31" s="701" t="str">
        <f t="shared" si="178"/>
        <v/>
      </c>
      <c r="IK31" s="146" t="str">
        <f t="shared" si="179"/>
        <v/>
      </c>
      <c r="IL31" s="701" t="str">
        <f t="shared" si="180"/>
        <v/>
      </c>
      <c r="IM31" s="66">
        <f t="shared" si="181"/>
        <v>0</v>
      </c>
      <c r="IN31" s="701" t="str">
        <f t="shared" si="182"/>
        <v/>
      </c>
      <c r="IO31" s="146" t="str">
        <f t="shared" si="183"/>
        <v/>
      </c>
      <c r="IP31" s="701" t="str">
        <f t="shared" si="184"/>
        <v/>
      </c>
      <c r="IQ31" s="66">
        <f t="shared" si="185"/>
        <v>0</v>
      </c>
      <c r="IR31" s="701" t="str">
        <f t="shared" si="186"/>
        <v/>
      </c>
      <c r="IS31" s="146" t="str">
        <f t="shared" si="187"/>
        <v/>
      </c>
      <c r="IT31" s="701" t="str">
        <f t="shared" si="188"/>
        <v/>
      </c>
      <c r="IU31" s="66">
        <f t="shared" si="189"/>
        <v>0</v>
      </c>
      <c r="IV31" s="701" t="str">
        <f t="shared" si="190"/>
        <v/>
      </c>
      <c r="IW31" s="146" t="str">
        <f t="shared" si="191"/>
        <v/>
      </c>
      <c r="IX31" s="701" t="str">
        <f t="shared" si="192"/>
        <v/>
      </c>
      <c r="IY31" s="66">
        <f t="shared" si="193"/>
        <v>0</v>
      </c>
    </row>
    <row r="32" spans="1:262" s="3" customFormat="1" ht="18" customHeight="1" thickTop="1" thickBot="1" x14ac:dyDescent="0.35">
      <c r="A32" s="1468" t="str">
        <f t="shared" si="194"/>
        <v/>
      </c>
      <c r="B32" s="780" t="str">
        <f t="shared" si="6"/>
        <v/>
      </c>
      <c r="D32" s="525" t="str">
        <f t="shared" si="234"/>
        <v/>
      </c>
      <c r="E32" s="522" t="str">
        <f>IF(DO61="","",SUM($DO$54:DO61))</f>
        <v/>
      </c>
      <c r="F32" s="843"/>
      <c r="G32" s="844"/>
      <c r="H32" s="1231"/>
      <c r="I32" s="1228"/>
      <c r="J32" s="1229"/>
      <c r="K32" s="1230"/>
      <c r="L32" s="1270" t="str">
        <f>IF('Quadro 2'!G20="","",'Quadro 2'!G20)</f>
        <v/>
      </c>
      <c r="M32" s="1270" t="str">
        <f t="shared" si="195"/>
        <v/>
      </c>
      <c r="N32" s="1459" t="str">
        <f t="shared" si="196"/>
        <v/>
      </c>
      <c r="O32" s="1480" t="str">
        <f t="shared" si="197"/>
        <v/>
      </c>
      <c r="P32" s="1271" t="str">
        <f t="shared" si="198"/>
        <v/>
      </c>
      <c r="Q32" s="1489" t="str">
        <f t="shared" si="199"/>
        <v/>
      </c>
      <c r="R32" s="1426" t="str">
        <f t="shared" si="7"/>
        <v/>
      </c>
      <c r="S32" s="848" t="str">
        <f t="shared" si="8"/>
        <v/>
      </c>
      <c r="T32" s="58" t="str">
        <f t="shared" si="9"/>
        <v/>
      </c>
      <c r="U32" s="1133"/>
      <c r="V32" s="143" t="str">
        <f t="shared" si="200"/>
        <v/>
      </c>
      <c r="W32" s="849" t="str">
        <f>IF(OR(H32="",V32="",V32=0),"",IF($V32&gt;'Quadro 1'!$G$23,'Quadro 1'!$G$23,IF($V32&lt;'Quadro 1'!$G$10,'Quadro 1'!$G$10,MIN($X32,$Y32))))</f>
        <v/>
      </c>
      <c r="X32" s="850" t="str">
        <f>IF($V32&lt;='Quadro 1'!$G$10,'Quadro 1'!$G$10,IF($V32&lt;='Quadro 1'!$G$11,'Quadro 1'!$G$11,IF($V32&lt;='Quadro 1'!$G$12,'Quadro 1'!$G$12,IF($V32&lt;='Quadro 1'!$G$13,'Quadro 1'!$G$13,IF($V32&lt;='Quadro 1'!$G$14,'Quadro 1'!$G$14,IF($V32&lt;='Quadro 1'!$G$15,'Quadro 1'!$G$15,IF($V32&lt;='Quadro 1'!$G$16,'Quadro 1'!$G$16,"")))))))</f>
        <v/>
      </c>
      <c r="Y32" s="851" t="str">
        <f>IF(OR(V32="",V32=0),"",IF($V32&lt;='Quadro 1'!$G$17,'Quadro 1'!$G$17,IF($V32&lt;='Quadro 1'!$G$18,'Quadro 1'!$G$18,IF($V32&lt;='Quadro 1'!$G$19,'Quadro 1'!$G$19,IF($V32&lt;='Quadro 1'!$G$20,'Quadro 1'!$G$20,IF($V32&lt;='Quadro 1'!$G$21,'Quadro 1'!$G$21,IF($V32&lt;='Quadro 1'!$G$22,'Quadro 1'!$G$22,IF($V32&lt;='Quadro 1'!$G$23,'Quadro 1'!$G$23,'Quadro 1'!$G$23))))))))</f>
        <v/>
      </c>
      <c r="Z32" s="852" t="str">
        <f>IF(W32="","",LOOKUP(W32,'Quadro 1'!$G$9:$G$23,'Quadro 1'!$H$9:$H$23))</f>
        <v/>
      </c>
      <c r="AA32" s="1417" t="str">
        <f>IF(W32="","",LOOKUP(W32,'Quadro 1'!$G$9:$G$23,'Quadro 1'!$D$9:$D$23))</f>
        <v/>
      </c>
      <c r="AB32" s="853" t="str">
        <f>IF(W32="","",LOOKUP(W32,'Quadro 1'!$G$9:$G$23,'Quadro 1'!$E$9:$E$23))</f>
        <v/>
      </c>
      <c r="AC32" s="1272" t="str">
        <f t="shared" si="201"/>
        <v/>
      </c>
      <c r="AD32" s="1274" t="str">
        <f t="shared" si="10"/>
        <v/>
      </c>
      <c r="AE32" s="1392" t="str">
        <f t="shared" si="202"/>
        <v/>
      </c>
      <c r="AF32" s="1395" t="str">
        <f t="shared" si="203"/>
        <v/>
      </c>
      <c r="AG32" s="1396" t="str">
        <f t="shared" si="204"/>
        <v/>
      </c>
      <c r="AH32" s="1398" t="str">
        <f t="shared" si="11"/>
        <v/>
      </c>
      <c r="AI32" s="1490" t="str">
        <f t="shared" si="235"/>
        <v/>
      </c>
      <c r="AJ32" s="1502" t="str">
        <f t="shared" si="239"/>
        <v/>
      </c>
      <c r="AK32" s="1503"/>
      <c r="AL32" s="1503"/>
      <c r="AM32" s="1504"/>
      <c r="AN32" s="1275" t="str">
        <f t="shared" si="12"/>
        <v/>
      </c>
      <c r="AO32" s="1502" t="str">
        <f t="shared" si="13"/>
        <v/>
      </c>
      <c r="AP32" s="1507"/>
      <c r="AQ32" s="1504"/>
      <c r="AR32" s="847"/>
      <c r="AS32" s="1258">
        <f t="shared" si="206"/>
        <v>0</v>
      </c>
      <c r="AT32" s="1256">
        <f t="shared" si="207"/>
        <v>0</v>
      </c>
      <c r="AU32" s="1381">
        <f t="shared" si="208"/>
        <v>1</v>
      </c>
      <c r="AV32" s="157" t="str">
        <f t="shared" si="14"/>
        <v/>
      </c>
      <c r="AW32" s="87" t="str">
        <f t="shared" si="236"/>
        <v/>
      </c>
      <c r="AX32" s="87" t="str">
        <f t="shared" si="15"/>
        <v/>
      </c>
      <c r="AY32" s="1341" t="str">
        <f t="shared" si="209"/>
        <v/>
      </c>
      <c r="AZ32" s="701">
        <f>IF(AND(FF32=$EV$53,B32="c"),$BA$23,IF(AND(FF32=$EV$53,B32="nc"),$BA$23,BD32))</f>
        <v>1</v>
      </c>
      <c r="BA32" s="1338" t="str">
        <f t="shared" si="211"/>
        <v/>
      </c>
      <c r="BB32" s="1335" t="str">
        <f t="shared" si="212"/>
        <v/>
      </c>
      <c r="BC32" s="86" t="str">
        <f t="shared" si="213"/>
        <v/>
      </c>
      <c r="BD32" s="701">
        <f t="shared" si="214"/>
        <v>1</v>
      </c>
      <c r="BE32" s="1273" t="str">
        <f t="shared" si="215"/>
        <v/>
      </c>
      <c r="BF32" s="86" t="str">
        <f t="shared" si="16"/>
        <v/>
      </c>
      <c r="BG32" s="57" t="str">
        <f t="shared" si="17"/>
        <v/>
      </c>
      <c r="BH32" s="1329">
        <f t="shared" si="216"/>
        <v>0</v>
      </c>
      <c r="BI32" s="88">
        <f t="shared" si="217"/>
        <v>0</v>
      </c>
      <c r="BJ32" s="88" t="str">
        <f t="shared" si="18"/>
        <v/>
      </c>
      <c r="BK32" s="88" t="str">
        <f t="shared" si="19"/>
        <v/>
      </c>
      <c r="BL32" s="88" t="str">
        <f t="shared" si="20"/>
        <v/>
      </c>
      <c r="BM32" s="88" t="str">
        <f t="shared" si="21"/>
        <v/>
      </c>
      <c r="BN32" s="88" t="str">
        <f t="shared" si="22"/>
        <v/>
      </c>
      <c r="BO32" s="88" t="str">
        <f t="shared" si="23"/>
        <v/>
      </c>
      <c r="BP32" s="88" t="str">
        <f t="shared" si="24"/>
        <v/>
      </c>
      <c r="BQ32" s="88" t="str">
        <f t="shared" si="25"/>
        <v/>
      </c>
      <c r="BR32" s="88" t="str">
        <f t="shared" si="26"/>
        <v/>
      </c>
      <c r="BS32" s="88" t="str">
        <f t="shared" si="27"/>
        <v/>
      </c>
      <c r="BT32" s="88" t="str">
        <f t="shared" si="28"/>
        <v/>
      </c>
      <c r="BU32" s="88" t="str">
        <f t="shared" si="29"/>
        <v/>
      </c>
      <c r="BV32" s="88" t="str">
        <f t="shared" si="30"/>
        <v/>
      </c>
      <c r="BW32" s="88" t="str">
        <f t="shared" si="31"/>
        <v/>
      </c>
      <c r="BX32" s="88" t="str">
        <f t="shared" si="32"/>
        <v/>
      </c>
      <c r="BY32" s="88" t="str">
        <f t="shared" si="33"/>
        <v/>
      </c>
      <c r="BZ32" s="88" t="str">
        <f t="shared" si="34"/>
        <v/>
      </c>
      <c r="CA32" s="88" t="str">
        <f t="shared" si="35"/>
        <v/>
      </c>
      <c r="CB32" s="88" t="str">
        <f t="shared" si="36"/>
        <v/>
      </c>
      <c r="CC32" s="88" t="str">
        <f t="shared" si="37"/>
        <v/>
      </c>
      <c r="CD32" s="88" t="str">
        <f t="shared" si="38"/>
        <v/>
      </c>
      <c r="CE32" s="88" t="str">
        <f t="shared" si="39"/>
        <v/>
      </c>
      <c r="CF32" s="88" t="str">
        <f t="shared" si="40"/>
        <v/>
      </c>
      <c r="CG32" s="88" t="str">
        <f t="shared" si="41"/>
        <v/>
      </c>
      <c r="CH32" s="88" t="str">
        <f t="shared" si="42"/>
        <v/>
      </c>
      <c r="CI32" s="790" t="str">
        <f t="shared" si="43"/>
        <v>0</v>
      </c>
      <c r="CJ32" s="791">
        <f t="shared" si="44"/>
        <v>0</v>
      </c>
      <c r="CK32" s="784" t="str">
        <f t="shared" si="45"/>
        <v>NA</v>
      </c>
      <c r="CL32" s="784" t="str">
        <f t="shared" si="46"/>
        <v/>
      </c>
      <c r="CM32" s="784" t="str">
        <f t="shared" si="218"/>
        <v/>
      </c>
      <c r="CN32" s="790" t="str">
        <f t="shared" si="47"/>
        <v/>
      </c>
      <c r="CO32" s="790" t="str">
        <f t="shared" si="48"/>
        <v/>
      </c>
      <c r="CP32" s="784" t="str">
        <f t="shared" si="49"/>
        <v/>
      </c>
      <c r="CQ32" s="790" t="str">
        <f t="shared" si="50"/>
        <v/>
      </c>
      <c r="CR32" s="524">
        <f t="shared" si="51"/>
        <v>0</v>
      </c>
      <c r="CS32" s="257" t="str">
        <f t="shared" si="219"/>
        <v/>
      </c>
      <c r="CT32" s="496">
        <f t="shared" si="238"/>
        <v>155.1</v>
      </c>
      <c r="CU32" s="496">
        <f t="shared" si="237"/>
        <v>155.1</v>
      </c>
      <c r="CV32" s="496">
        <f t="shared" si="220"/>
        <v>155.1</v>
      </c>
      <c r="CW32" s="495" t="str">
        <f t="shared" si="52"/>
        <v/>
      </c>
      <c r="CX32" s="496" t="str">
        <f t="shared" si="53"/>
        <v/>
      </c>
      <c r="CY32" s="496" t="str">
        <f t="shared" si="221"/>
        <v/>
      </c>
      <c r="CZ32" s="1456">
        <f t="shared" si="222"/>
        <v>1</v>
      </c>
      <c r="DA32" s="157" t="str">
        <f t="shared" si="223"/>
        <v/>
      </c>
      <c r="DB32" s="213" t="str">
        <f t="shared" si="224"/>
        <v/>
      </c>
      <c r="DC32" s="213" t="str">
        <f t="shared" si="225"/>
        <v/>
      </c>
      <c r="DD32" s="157" t="str">
        <f t="shared" si="54"/>
        <v/>
      </c>
      <c r="DE32" s="157" t="str">
        <f t="shared" si="55"/>
        <v/>
      </c>
      <c r="DF32" s="157" t="str">
        <f t="shared" si="56"/>
        <v/>
      </c>
      <c r="DG32" s="157" t="str">
        <f t="shared" si="57"/>
        <v/>
      </c>
      <c r="DH32" s="157" t="str">
        <f t="shared" si="58"/>
        <v/>
      </c>
      <c r="DI32" s="157" t="str">
        <f t="shared" si="59"/>
        <v/>
      </c>
      <c r="DJ32" s="157" t="str">
        <f t="shared" si="60"/>
        <v/>
      </c>
      <c r="DK32" s="157" t="str">
        <f t="shared" si="61"/>
        <v/>
      </c>
      <c r="DL32" s="157" t="str">
        <f t="shared" si="62"/>
        <v/>
      </c>
      <c r="DM32" s="157" t="str">
        <f t="shared" si="63"/>
        <v/>
      </c>
      <c r="DN32" s="33">
        <v>8</v>
      </c>
      <c r="DO32" s="1466" t="str">
        <f t="shared" si="226"/>
        <v/>
      </c>
      <c r="DP32" s="1014" t="str">
        <f t="shared" si="64"/>
        <v/>
      </c>
      <c r="DQ32" s="1026" t="str">
        <f t="shared" si="227"/>
        <v/>
      </c>
      <c r="DR32" s="1026" t="str">
        <f t="shared" si="228"/>
        <v/>
      </c>
      <c r="DS32" s="93" t="str">
        <f t="shared" si="65"/>
        <v/>
      </c>
      <c r="DT32" s="213" t="str">
        <f t="shared" si="66"/>
        <v/>
      </c>
      <c r="DU32" s="144" t="str">
        <f t="shared" si="67"/>
        <v/>
      </c>
      <c r="DV32" s="144" t="str">
        <f t="shared" si="68"/>
        <v/>
      </c>
      <c r="DW32" s="144" t="str">
        <f t="shared" si="69"/>
        <v/>
      </c>
      <c r="DX32" s="144" t="str">
        <f t="shared" si="70"/>
        <v/>
      </c>
      <c r="DY32" s="144" t="str">
        <f t="shared" si="71"/>
        <v/>
      </c>
      <c r="DZ32" s="144" t="str">
        <f t="shared" si="72"/>
        <v/>
      </c>
      <c r="EA32" s="144" t="str">
        <f t="shared" si="73"/>
        <v/>
      </c>
      <c r="EB32" s="144" t="str">
        <f t="shared" si="74"/>
        <v/>
      </c>
      <c r="EC32" s="144" t="str">
        <f t="shared" si="75"/>
        <v/>
      </c>
      <c r="ED32" s="144" t="str">
        <f t="shared" si="76"/>
        <v/>
      </c>
      <c r="EE32" s="144" t="str">
        <f t="shared" si="77"/>
        <v/>
      </c>
      <c r="EF32" s="144" t="str">
        <f t="shared" si="78"/>
        <v/>
      </c>
      <c r="EG32" s="144" t="str">
        <f t="shared" si="79"/>
        <v/>
      </c>
      <c r="EH32" s="144" t="str">
        <f t="shared" si="80"/>
        <v/>
      </c>
      <c r="EI32" s="144" t="str">
        <f t="shared" si="81"/>
        <v/>
      </c>
      <c r="EJ32" s="144" t="str">
        <f t="shared" si="82"/>
        <v/>
      </c>
      <c r="EK32" s="144" t="str">
        <f t="shared" si="83"/>
        <v/>
      </c>
      <c r="EL32" s="144" t="str">
        <f t="shared" si="84"/>
        <v/>
      </c>
      <c r="EM32" s="144" t="str">
        <f t="shared" si="85"/>
        <v/>
      </c>
      <c r="EN32" s="719" t="str">
        <f t="shared" si="86"/>
        <v/>
      </c>
      <c r="EO32" s="719" t="str">
        <f t="shared" si="87"/>
        <v/>
      </c>
      <c r="EP32" s="719" t="str">
        <f t="shared" si="88"/>
        <v/>
      </c>
      <c r="EQ32" s="719" t="str">
        <f t="shared" si="89"/>
        <v/>
      </c>
      <c r="ER32" s="719" t="str">
        <f t="shared" si="90"/>
        <v/>
      </c>
      <c r="EU32" s="33">
        <v>8</v>
      </c>
      <c r="EV32" s="735" t="str">
        <f t="shared" si="91"/>
        <v>Crítico</v>
      </c>
      <c r="EW32" s="741">
        <f t="shared" si="92"/>
        <v>1</v>
      </c>
      <c r="EX32" s="121" t="str">
        <f t="shared" si="93"/>
        <v>Crítico</v>
      </c>
      <c r="EY32" s="124">
        <f t="shared" si="229"/>
        <v>1</v>
      </c>
      <c r="EZ32" s="121" t="str">
        <f t="shared" si="94"/>
        <v>Crítico</v>
      </c>
      <c r="FA32" s="122">
        <f t="shared" si="95"/>
        <v>1</v>
      </c>
      <c r="FB32" s="18">
        <f t="shared" si="96"/>
        <v>0</v>
      </c>
      <c r="FC32" s="254" t="str">
        <f t="shared" si="97"/>
        <v/>
      </c>
      <c r="FD32" s="76" t="str">
        <f t="shared" si="230"/>
        <v/>
      </c>
      <c r="FE32" s="18">
        <f t="shared" si="231"/>
        <v>0</v>
      </c>
      <c r="FF32" s="703">
        <f t="shared" si="98"/>
        <v>0</v>
      </c>
      <c r="FG32" s="702">
        <f t="shared" si="99"/>
        <v>0</v>
      </c>
      <c r="FH32" s="19">
        <f t="shared" si="232"/>
        <v>0</v>
      </c>
      <c r="FI32" s="238" t="str">
        <f t="shared" si="233"/>
        <v/>
      </c>
      <c r="FJ32" s="701" t="str">
        <f t="shared" si="100"/>
        <v/>
      </c>
      <c r="FK32" s="66">
        <f t="shared" si="101"/>
        <v>0</v>
      </c>
      <c r="FL32" s="701" t="str">
        <f t="shared" si="102"/>
        <v/>
      </c>
      <c r="FM32" s="146" t="str">
        <f t="shared" si="103"/>
        <v/>
      </c>
      <c r="FN32" s="701" t="str">
        <f t="shared" si="104"/>
        <v/>
      </c>
      <c r="FO32" s="66">
        <f t="shared" si="105"/>
        <v>0</v>
      </c>
      <c r="FP32" s="701" t="str">
        <f t="shared" si="106"/>
        <v/>
      </c>
      <c r="FQ32" s="146" t="str">
        <f t="shared" si="107"/>
        <v/>
      </c>
      <c r="FR32" s="701" t="str">
        <f t="shared" si="108"/>
        <v/>
      </c>
      <c r="FS32" s="66">
        <f t="shared" si="109"/>
        <v>0</v>
      </c>
      <c r="FT32" s="701" t="str">
        <f t="shared" si="110"/>
        <v/>
      </c>
      <c r="FU32" s="146" t="str">
        <f t="shared" si="111"/>
        <v/>
      </c>
      <c r="FV32" s="701" t="str">
        <f t="shared" si="112"/>
        <v/>
      </c>
      <c r="FW32" s="66">
        <f t="shared" si="113"/>
        <v>0</v>
      </c>
      <c r="FX32" s="701" t="str">
        <f t="shared" si="114"/>
        <v/>
      </c>
      <c r="FY32" s="146" t="str">
        <f t="shared" si="115"/>
        <v/>
      </c>
      <c r="FZ32" s="701" t="str">
        <f t="shared" si="116"/>
        <v/>
      </c>
      <c r="GA32" s="66">
        <f t="shared" si="117"/>
        <v>0</v>
      </c>
      <c r="GB32" s="701" t="str">
        <f t="shared" si="118"/>
        <v/>
      </c>
      <c r="GC32" s="146" t="str">
        <f t="shared" si="119"/>
        <v/>
      </c>
      <c r="GD32" s="701" t="str">
        <f t="shared" si="120"/>
        <v/>
      </c>
      <c r="GE32" s="66">
        <f t="shared" si="121"/>
        <v>0</v>
      </c>
      <c r="GF32" s="701" t="str">
        <f t="shared" si="122"/>
        <v/>
      </c>
      <c r="GG32" s="146" t="str">
        <f t="shared" si="123"/>
        <v/>
      </c>
      <c r="GH32" s="701" t="str">
        <f t="shared" si="124"/>
        <v/>
      </c>
      <c r="GI32" s="66">
        <f t="shared" si="125"/>
        <v>0</v>
      </c>
      <c r="GJ32" s="701" t="str">
        <f t="shared" si="126"/>
        <v/>
      </c>
      <c r="GK32" s="146" t="str">
        <f t="shared" si="127"/>
        <v/>
      </c>
      <c r="GL32" s="701" t="str">
        <f t="shared" si="128"/>
        <v/>
      </c>
      <c r="GM32" s="66">
        <f t="shared" si="129"/>
        <v>0</v>
      </c>
      <c r="GN32" s="701" t="str">
        <f t="shared" si="130"/>
        <v/>
      </c>
      <c r="GO32" s="146" t="str">
        <f t="shared" si="131"/>
        <v/>
      </c>
      <c r="GP32" s="701" t="str">
        <f t="shared" si="132"/>
        <v/>
      </c>
      <c r="GQ32" s="66">
        <f t="shared" si="133"/>
        <v>0</v>
      </c>
      <c r="GR32" s="701" t="str">
        <f t="shared" si="134"/>
        <v/>
      </c>
      <c r="GS32" s="146" t="str">
        <f t="shared" si="135"/>
        <v/>
      </c>
      <c r="GT32" s="701" t="str">
        <f t="shared" si="136"/>
        <v/>
      </c>
      <c r="GU32" s="66">
        <f t="shared" si="137"/>
        <v>0</v>
      </c>
      <c r="GV32" s="701" t="str">
        <f t="shared" si="138"/>
        <v/>
      </c>
      <c r="GW32" s="146" t="str">
        <f t="shared" si="139"/>
        <v/>
      </c>
      <c r="GX32" s="701" t="str">
        <f t="shared" si="140"/>
        <v/>
      </c>
      <c r="GY32" s="66">
        <f t="shared" si="141"/>
        <v>0</v>
      </c>
      <c r="GZ32" s="701" t="str">
        <f t="shared" si="142"/>
        <v/>
      </c>
      <c r="HA32" s="146" t="str">
        <f t="shared" si="143"/>
        <v/>
      </c>
      <c r="HB32" s="701" t="str">
        <f t="shared" si="144"/>
        <v/>
      </c>
      <c r="HC32" s="66">
        <f t="shared" si="145"/>
        <v>0</v>
      </c>
      <c r="HD32" s="701" t="str">
        <f t="shared" si="146"/>
        <v/>
      </c>
      <c r="HE32" s="146" t="str">
        <f t="shared" si="147"/>
        <v/>
      </c>
      <c r="HF32" s="701" t="str">
        <f t="shared" si="148"/>
        <v/>
      </c>
      <c r="HG32" s="66">
        <f t="shared" si="149"/>
        <v>0</v>
      </c>
      <c r="HH32" s="701" t="str">
        <f t="shared" si="150"/>
        <v/>
      </c>
      <c r="HI32" s="146" t="str">
        <f t="shared" si="151"/>
        <v/>
      </c>
      <c r="HJ32" s="701" t="str">
        <f t="shared" si="152"/>
        <v/>
      </c>
      <c r="HK32" s="66">
        <f t="shared" si="153"/>
        <v>0</v>
      </c>
      <c r="HL32" s="701" t="str">
        <f t="shared" si="154"/>
        <v/>
      </c>
      <c r="HM32" s="146" t="str">
        <f t="shared" si="155"/>
        <v/>
      </c>
      <c r="HN32" s="701" t="str">
        <f t="shared" si="156"/>
        <v/>
      </c>
      <c r="HO32" s="66">
        <f t="shared" si="157"/>
        <v>0</v>
      </c>
      <c r="HP32" s="701" t="str">
        <f t="shared" si="158"/>
        <v/>
      </c>
      <c r="HQ32" s="146" t="str">
        <f t="shared" si="159"/>
        <v/>
      </c>
      <c r="HR32" s="701" t="str">
        <f t="shared" si="160"/>
        <v/>
      </c>
      <c r="HS32" s="66">
        <f t="shared" si="161"/>
        <v>0</v>
      </c>
      <c r="HT32" s="701" t="str">
        <f t="shared" si="162"/>
        <v/>
      </c>
      <c r="HU32" s="146" t="str">
        <f t="shared" si="163"/>
        <v/>
      </c>
      <c r="HV32" s="701" t="str">
        <f t="shared" si="164"/>
        <v/>
      </c>
      <c r="HW32" s="66">
        <f t="shared" si="165"/>
        <v>0</v>
      </c>
      <c r="HX32" s="701" t="str">
        <f t="shared" si="166"/>
        <v/>
      </c>
      <c r="HY32" s="146" t="str">
        <f t="shared" si="167"/>
        <v/>
      </c>
      <c r="HZ32" s="701" t="str">
        <f t="shared" si="168"/>
        <v/>
      </c>
      <c r="IA32" s="66">
        <f t="shared" si="169"/>
        <v>0</v>
      </c>
      <c r="IB32" s="701" t="str">
        <f t="shared" si="170"/>
        <v/>
      </c>
      <c r="IC32" s="146" t="str">
        <f t="shared" si="171"/>
        <v/>
      </c>
      <c r="ID32" s="701" t="str">
        <f t="shared" si="172"/>
        <v/>
      </c>
      <c r="IE32" s="66">
        <f t="shared" si="173"/>
        <v>0</v>
      </c>
      <c r="IF32" s="701" t="str">
        <f t="shared" si="174"/>
        <v/>
      </c>
      <c r="IG32" s="146" t="str">
        <f t="shared" si="175"/>
        <v/>
      </c>
      <c r="IH32" s="701" t="str">
        <f t="shared" si="176"/>
        <v/>
      </c>
      <c r="II32" s="66">
        <f t="shared" si="177"/>
        <v>0</v>
      </c>
      <c r="IJ32" s="701" t="str">
        <f t="shared" si="178"/>
        <v/>
      </c>
      <c r="IK32" s="146" t="str">
        <f t="shared" si="179"/>
        <v/>
      </c>
      <c r="IL32" s="701" t="str">
        <f t="shared" si="180"/>
        <v/>
      </c>
      <c r="IM32" s="66">
        <f t="shared" si="181"/>
        <v>0</v>
      </c>
      <c r="IN32" s="701" t="str">
        <f t="shared" si="182"/>
        <v/>
      </c>
      <c r="IO32" s="146" t="str">
        <f t="shared" si="183"/>
        <v/>
      </c>
      <c r="IP32" s="701" t="str">
        <f t="shared" si="184"/>
        <v/>
      </c>
      <c r="IQ32" s="66">
        <f t="shared" si="185"/>
        <v>0</v>
      </c>
      <c r="IR32" s="701" t="str">
        <f t="shared" si="186"/>
        <v/>
      </c>
      <c r="IS32" s="146" t="str">
        <f t="shared" si="187"/>
        <v/>
      </c>
      <c r="IT32" s="701" t="str">
        <f t="shared" si="188"/>
        <v/>
      </c>
      <c r="IU32" s="66">
        <f t="shared" si="189"/>
        <v>0</v>
      </c>
      <c r="IV32" s="701" t="str">
        <f t="shared" si="190"/>
        <v/>
      </c>
      <c r="IW32" s="146" t="str">
        <f t="shared" si="191"/>
        <v/>
      </c>
      <c r="IX32" s="701" t="str">
        <f t="shared" si="192"/>
        <v/>
      </c>
      <c r="IY32" s="66">
        <f t="shared" si="193"/>
        <v>0</v>
      </c>
    </row>
    <row r="33" spans="1:259" s="3" customFormat="1" ht="18" customHeight="1" thickTop="1" thickBot="1" x14ac:dyDescent="0.35">
      <c r="A33" s="1468" t="str">
        <f t="shared" si="194"/>
        <v/>
      </c>
      <c r="B33" s="780" t="str">
        <f t="shared" si="6"/>
        <v/>
      </c>
      <c r="D33" s="525" t="str">
        <f t="shared" si="234"/>
        <v/>
      </c>
      <c r="E33" s="522" t="str">
        <f>IF(DO62="","",SUM($DO$54:DO62))</f>
        <v/>
      </c>
      <c r="F33" s="843"/>
      <c r="G33" s="844"/>
      <c r="H33" s="1231"/>
      <c r="I33" s="1228"/>
      <c r="J33" s="1229"/>
      <c r="K33" s="1230"/>
      <c r="L33" s="1270" t="str">
        <f>IF('Quadro 2'!G21="","",'Quadro 2'!G21)</f>
        <v/>
      </c>
      <c r="M33" s="1270" t="str">
        <f t="shared" si="195"/>
        <v/>
      </c>
      <c r="N33" s="1459" t="str">
        <f t="shared" si="196"/>
        <v/>
      </c>
      <c r="O33" s="1480" t="str">
        <f t="shared" si="197"/>
        <v/>
      </c>
      <c r="P33" s="1271" t="str">
        <f t="shared" si="198"/>
        <v/>
      </c>
      <c r="Q33" s="1489" t="str">
        <f t="shared" si="199"/>
        <v/>
      </c>
      <c r="R33" s="1426" t="str">
        <f t="shared" si="7"/>
        <v/>
      </c>
      <c r="S33" s="848" t="str">
        <f t="shared" si="8"/>
        <v/>
      </c>
      <c r="T33" s="58" t="str">
        <f t="shared" si="9"/>
        <v/>
      </c>
      <c r="U33" s="1133"/>
      <c r="V33" s="143" t="str">
        <f t="shared" si="200"/>
        <v/>
      </c>
      <c r="W33" s="849" t="str">
        <f>IF(OR(H33="",V33="",V33=0),"",IF($V33&gt;'Quadro 1'!$G$23,'Quadro 1'!$G$23,IF($V33&lt;'Quadro 1'!$G$10,'Quadro 1'!$G$10,MIN($X33,$Y33))))</f>
        <v/>
      </c>
      <c r="X33" s="850" t="str">
        <f>IF($V33&lt;='Quadro 1'!$G$10,'Quadro 1'!$G$10,IF($V33&lt;='Quadro 1'!$G$11,'Quadro 1'!$G$11,IF($V33&lt;='Quadro 1'!$G$12,'Quadro 1'!$G$12,IF($V33&lt;='Quadro 1'!$G$13,'Quadro 1'!$G$13,IF($V33&lt;='Quadro 1'!$G$14,'Quadro 1'!$G$14,IF($V33&lt;='Quadro 1'!$G$15,'Quadro 1'!$G$15,IF($V33&lt;='Quadro 1'!$G$16,'Quadro 1'!$G$16,"")))))))</f>
        <v/>
      </c>
      <c r="Y33" s="851" t="str">
        <f>IF(OR(V33="",V33=0),"",IF($V33&lt;='Quadro 1'!$G$17,'Quadro 1'!$G$17,IF($V33&lt;='Quadro 1'!$G$18,'Quadro 1'!$G$18,IF($V33&lt;='Quadro 1'!$G$19,'Quadro 1'!$G$19,IF($V33&lt;='Quadro 1'!$G$20,'Quadro 1'!$G$20,IF($V33&lt;='Quadro 1'!$G$21,'Quadro 1'!$G$21,IF($V33&lt;='Quadro 1'!$G$22,'Quadro 1'!$G$22,IF($V33&lt;='Quadro 1'!$G$23,'Quadro 1'!$G$23,'Quadro 1'!$G$23))))))))</f>
        <v/>
      </c>
      <c r="Z33" s="852" t="str">
        <f>IF(W33="","",LOOKUP(W33,'Quadro 1'!$G$9:$G$23,'Quadro 1'!$H$9:$H$23))</f>
        <v/>
      </c>
      <c r="AA33" s="1417" t="str">
        <f>IF(W33="","",LOOKUP(W33,'Quadro 1'!$G$9:$G$23,'Quadro 1'!$D$9:$D$23))</f>
        <v/>
      </c>
      <c r="AB33" s="853" t="str">
        <f>IF(W33="","",LOOKUP(W33,'Quadro 1'!$G$9:$G$23,'Quadro 1'!$E$9:$E$23))</f>
        <v/>
      </c>
      <c r="AC33" s="1272" t="str">
        <f t="shared" si="201"/>
        <v/>
      </c>
      <c r="AD33" s="1274" t="str">
        <f>IFERROR(IF(OR($G33="",H33=0,$DJ$52=""),"",IF(BH33=0,(BE33-K33*$AU$19*$B$18),BH33)),"")</f>
        <v/>
      </c>
      <c r="AE33" s="1392" t="str">
        <f t="shared" si="202"/>
        <v/>
      </c>
      <c r="AF33" s="1395" t="str">
        <f t="shared" si="203"/>
        <v/>
      </c>
      <c r="AG33" s="1396" t="str">
        <f t="shared" si="204"/>
        <v/>
      </c>
      <c r="AH33" s="1398" t="str">
        <f t="shared" si="11"/>
        <v/>
      </c>
      <c r="AI33" s="1490" t="str">
        <f t="shared" si="235"/>
        <v/>
      </c>
      <c r="AJ33" s="1502" t="str">
        <f t="shared" si="239"/>
        <v/>
      </c>
      <c r="AK33" s="1503"/>
      <c r="AL33" s="1503"/>
      <c r="AM33" s="1504"/>
      <c r="AN33" s="1275" t="str">
        <f t="shared" si="12"/>
        <v/>
      </c>
      <c r="AO33" s="1502" t="str">
        <f t="shared" si="13"/>
        <v/>
      </c>
      <c r="AP33" s="1507"/>
      <c r="AQ33" s="1504"/>
      <c r="AR33" s="847"/>
      <c r="AS33" s="1258">
        <f t="shared" si="206"/>
        <v>0</v>
      </c>
      <c r="AT33" s="1256">
        <f t="shared" si="207"/>
        <v>0</v>
      </c>
      <c r="AU33" s="1381">
        <f t="shared" si="208"/>
        <v>1</v>
      </c>
      <c r="AV33" s="157" t="str">
        <f t="shared" si="14"/>
        <v/>
      </c>
      <c r="AW33" s="87" t="str">
        <f t="shared" si="236"/>
        <v/>
      </c>
      <c r="AX33" s="87" t="str">
        <f t="shared" si="15"/>
        <v/>
      </c>
      <c r="AY33" s="1341" t="str">
        <f t="shared" si="209"/>
        <v/>
      </c>
      <c r="AZ33" s="701">
        <f t="shared" si="210"/>
        <v>1</v>
      </c>
      <c r="BA33" s="1338" t="str">
        <f t="shared" si="211"/>
        <v/>
      </c>
      <c r="BB33" s="1335" t="str">
        <f t="shared" si="212"/>
        <v/>
      </c>
      <c r="BC33" s="86" t="str">
        <f t="shared" si="213"/>
        <v/>
      </c>
      <c r="BD33" s="701">
        <f t="shared" si="214"/>
        <v>1</v>
      </c>
      <c r="BE33" s="1273" t="str">
        <f t="shared" si="215"/>
        <v/>
      </c>
      <c r="BF33" s="86" t="str">
        <f t="shared" si="16"/>
        <v/>
      </c>
      <c r="BG33" s="57" t="str">
        <f t="shared" si="17"/>
        <v/>
      </c>
      <c r="BH33" s="1329">
        <f t="shared" si="216"/>
        <v>0</v>
      </c>
      <c r="BI33" s="88">
        <f t="shared" si="217"/>
        <v>0</v>
      </c>
      <c r="BJ33" s="88" t="str">
        <f t="shared" si="18"/>
        <v/>
      </c>
      <c r="BK33" s="88" t="str">
        <f t="shared" si="19"/>
        <v/>
      </c>
      <c r="BL33" s="88" t="str">
        <f t="shared" si="20"/>
        <v/>
      </c>
      <c r="BM33" s="88" t="str">
        <f t="shared" si="21"/>
        <v/>
      </c>
      <c r="BN33" s="88" t="str">
        <f t="shared" si="22"/>
        <v/>
      </c>
      <c r="BO33" s="88" t="str">
        <f t="shared" si="23"/>
        <v/>
      </c>
      <c r="BP33" s="88" t="str">
        <f t="shared" si="24"/>
        <v/>
      </c>
      <c r="BQ33" s="88" t="str">
        <f t="shared" si="25"/>
        <v/>
      </c>
      <c r="BR33" s="88" t="str">
        <f t="shared" si="26"/>
        <v/>
      </c>
      <c r="BS33" s="88" t="str">
        <f t="shared" si="27"/>
        <v/>
      </c>
      <c r="BT33" s="88" t="str">
        <f t="shared" si="28"/>
        <v/>
      </c>
      <c r="BU33" s="88" t="str">
        <f t="shared" si="29"/>
        <v/>
      </c>
      <c r="BV33" s="88" t="str">
        <f t="shared" si="30"/>
        <v/>
      </c>
      <c r="BW33" s="88" t="str">
        <f t="shared" si="31"/>
        <v/>
      </c>
      <c r="BX33" s="88" t="str">
        <f t="shared" si="32"/>
        <v/>
      </c>
      <c r="BY33" s="88" t="str">
        <f t="shared" si="33"/>
        <v/>
      </c>
      <c r="BZ33" s="88" t="str">
        <f t="shared" si="34"/>
        <v/>
      </c>
      <c r="CA33" s="88" t="str">
        <f t="shared" si="35"/>
        <v/>
      </c>
      <c r="CB33" s="88" t="str">
        <f t="shared" si="36"/>
        <v/>
      </c>
      <c r="CC33" s="88" t="str">
        <f t="shared" si="37"/>
        <v/>
      </c>
      <c r="CD33" s="88" t="str">
        <f t="shared" si="38"/>
        <v/>
      </c>
      <c r="CE33" s="88" t="str">
        <f t="shared" si="39"/>
        <v/>
      </c>
      <c r="CF33" s="88" t="str">
        <f t="shared" si="40"/>
        <v/>
      </c>
      <c r="CG33" s="88" t="str">
        <f t="shared" si="41"/>
        <v/>
      </c>
      <c r="CH33" s="88" t="str">
        <f t="shared" si="42"/>
        <v/>
      </c>
      <c r="CI33" s="790" t="str">
        <f t="shared" si="43"/>
        <v>0</v>
      </c>
      <c r="CJ33" s="791">
        <f t="shared" si="44"/>
        <v>0</v>
      </c>
      <c r="CK33" s="784" t="str">
        <f t="shared" si="45"/>
        <v>NA</v>
      </c>
      <c r="CL33" s="784" t="str">
        <f t="shared" si="46"/>
        <v/>
      </c>
      <c r="CM33" s="784" t="str">
        <f t="shared" si="218"/>
        <v/>
      </c>
      <c r="CN33" s="790" t="str">
        <f t="shared" si="47"/>
        <v/>
      </c>
      <c r="CO33" s="790" t="str">
        <f t="shared" si="48"/>
        <v/>
      </c>
      <c r="CP33" s="784" t="str">
        <f t="shared" si="49"/>
        <v/>
      </c>
      <c r="CQ33" s="790" t="str">
        <f t="shared" si="50"/>
        <v/>
      </c>
      <c r="CR33" s="524">
        <f t="shared" si="51"/>
        <v>0</v>
      </c>
      <c r="CS33" s="257" t="str">
        <f t="shared" si="219"/>
        <v/>
      </c>
      <c r="CT33" s="496">
        <f t="shared" si="238"/>
        <v>155.1</v>
      </c>
      <c r="CU33" s="496">
        <f t="shared" si="237"/>
        <v>155.1</v>
      </c>
      <c r="CV33" s="496">
        <f t="shared" si="220"/>
        <v>155.1</v>
      </c>
      <c r="CW33" s="495" t="str">
        <f t="shared" si="52"/>
        <v/>
      </c>
      <c r="CX33" s="496" t="str">
        <f t="shared" si="53"/>
        <v/>
      </c>
      <c r="CY33" s="496" t="str">
        <f t="shared" si="221"/>
        <v/>
      </c>
      <c r="CZ33" s="1456">
        <f t="shared" si="222"/>
        <v>1</v>
      </c>
      <c r="DA33" s="157" t="str">
        <f t="shared" si="223"/>
        <v/>
      </c>
      <c r="DB33" s="213" t="str">
        <f t="shared" si="224"/>
        <v/>
      </c>
      <c r="DC33" s="213" t="str">
        <f t="shared" si="225"/>
        <v/>
      </c>
      <c r="DD33" s="157" t="str">
        <f t="shared" si="54"/>
        <v/>
      </c>
      <c r="DE33" s="157" t="str">
        <f t="shared" si="55"/>
        <v/>
      </c>
      <c r="DF33" s="157" t="str">
        <f t="shared" si="56"/>
        <v/>
      </c>
      <c r="DG33" s="157" t="str">
        <f t="shared" si="57"/>
        <v/>
      </c>
      <c r="DH33" s="157" t="str">
        <f t="shared" si="58"/>
        <v/>
      </c>
      <c r="DI33" s="157" t="str">
        <f t="shared" si="59"/>
        <v/>
      </c>
      <c r="DJ33" s="157" t="str">
        <f t="shared" si="60"/>
        <v/>
      </c>
      <c r="DK33" s="157" t="str">
        <f t="shared" si="61"/>
        <v/>
      </c>
      <c r="DL33" s="157" t="str">
        <f t="shared" si="62"/>
        <v/>
      </c>
      <c r="DM33" s="157" t="str">
        <f t="shared" si="63"/>
        <v/>
      </c>
      <c r="DN33" s="33">
        <v>9</v>
      </c>
      <c r="DO33" s="1466" t="str">
        <f t="shared" si="226"/>
        <v/>
      </c>
      <c r="DP33" s="1014" t="str">
        <f t="shared" si="64"/>
        <v/>
      </c>
      <c r="DQ33" s="1026" t="str">
        <f t="shared" si="227"/>
        <v/>
      </c>
      <c r="DR33" s="1026" t="str">
        <f t="shared" si="228"/>
        <v/>
      </c>
      <c r="DS33" s="93" t="str">
        <f t="shared" si="65"/>
        <v/>
      </c>
      <c r="DT33" s="213" t="str">
        <f t="shared" si="66"/>
        <v/>
      </c>
      <c r="DU33" s="144" t="str">
        <f t="shared" si="67"/>
        <v/>
      </c>
      <c r="DV33" s="144" t="str">
        <f t="shared" si="68"/>
        <v/>
      </c>
      <c r="DW33" s="144" t="str">
        <f t="shared" si="69"/>
        <v/>
      </c>
      <c r="DX33" s="144" t="str">
        <f t="shared" si="70"/>
        <v/>
      </c>
      <c r="DY33" s="144" t="str">
        <f t="shared" si="71"/>
        <v/>
      </c>
      <c r="DZ33" s="144" t="str">
        <f t="shared" si="72"/>
        <v/>
      </c>
      <c r="EA33" s="144" t="str">
        <f t="shared" si="73"/>
        <v/>
      </c>
      <c r="EB33" s="144" t="str">
        <f t="shared" si="74"/>
        <v/>
      </c>
      <c r="EC33" s="144" t="str">
        <f t="shared" si="75"/>
        <v/>
      </c>
      <c r="ED33" s="144" t="str">
        <f t="shared" si="76"/>
        <v/>
      </c>
      <c r="EE33" s="144" t="str">
        <f t="shared" si="77"/>
        <v/>
      </c>
      <c r="EF33" s="144" t="str">
        <f t="shared" si="78"/>
        <v/>
      </c>
      <c r="EG33" s="144" t="str">
        <f t="shared" si="79"/>
        <v/>
      </c>
      <c r="EH33" s="144" t="str">
        <f t="shared" si="80"/>
        <v/>
      </c>
      <c r="EI33" s="144" t="str">
        <f t="shared" si="81"/>
        <v/>
      </c>
      <c r="EJ33" s="144" t="str">
        <f t="shared" si="82"/>
        <v/>
      </c>
      <c r="EK33" s="144" t="str">
        <f t="shared" si="83"/>
        <v/>
      </c>
      <c r="EL33" s="144" t="str">
        <f t="shared" si="84"/>
        <v/>
      </c>
      <c r="EM33" s="144" t="str">
        <f t="shared" si="85"/>
        <v/>
      </c>
      <c r="EN33" s="719" t="str">
        <f t="shared" si="86"/>
        <v/>
      </c>
      <c r="EO33" s="719" t="str">
        <f t="shared" si="87"/>
        <v/>
      </c>
      <c r="EP33" s="719" t="str">
        <f t="shared" si="88"/>
        <v/>
      </c>
      <c r="EQ33" s="719" t="str">
        <f t="shared" si="89"/>
        <v/>
      </c>
      <c r="ER33" s="719" t="str">
        <f t="shared" si="90"/>
        <v/>
      </c>
      <c r="EU33" s="33">
        <v>9</v>
      </c>
      <c r="EV33" s="735" t="str">
        <f t="shared" si="91"/>
        <v>Crítico</v>
      </c>
      <c r="EW33" s="741">
        <f t="shared" si="92"/>
        <v>1</v>
      </c>
      <c r="EX33" s="121" t="str">
        <f t="shared" si="93"/>
        <v>Crítico</v>
      </c>
      <c r="EY33" s="124">
        <f t="shared" si="229"/>
        <v>1</v>
      </c>
      <c r="EZ33" s="121" t="str">
        <f t="shared" si="94"/>
        <v>Crítico</v>
      </c>
      <c r="FA33" s="122">
        <f t="shared" si="95"/>
        <v>1</v>
      </c>
      <c r="FB33" s="18">
        <f t="shared" si="96"/>
        <v>0</v>
      </c>
      <c r="FC33" s="254" t="str">
        <f t="shared" si="97"/>
        <v/>
      </c>
      <c r="FD33" s="76" t="str">
        <f t="shared" si="230"/>
        <v/>
      </c>
      <c r="FE33" s="18">
        <f t="shared" si="231"/>
        <v>0</v>
      </c>
      <c r="FF33" s="703">
        <f t="shared" si="98"/>
        <v>0</v>
      </c>
      <c r="FG33" s="702">
        <f t="shared" si="99"/>
        <v>0</v>
      </c>
      <c r="FH33" s="19">
        <f t="shared" si="232"/>
        <v>0</v>
      </c>
      <c r="FI33" s="238" t="str">
        <f t="shared" si="233"/>
        <v/>
      </c>
      <c r="FJ33" s="701" t="str">
        <f t="shared" si="100"/>
        <v/>
      </c>
      <c r="FK33" s="66">
        <f t="shared" si="101"/>
        <v>0</v>
      </c>
      <c r="FL33" s="701" t="str">
        <f t="shared" si="102"/>
        <v/>
      </c>
      <c r="FM33" s="146" t="str">
        <f t="shared" si="103"/>
        <v/>
      </c>
      <c r="FN33" s="701" t="str">
        <f t="shared" si="104"/>
        <v/>
      </c>
      <c r="FO33" s="66">
        <f t="shared" si="105"/>
        <v>0</v>
      </c>
      <c r="FP33" s="701" t="str">
        <f t="shared" si="106"/>
        <v/>
      </c>
      <c r="FQ33" s="146" t="str">
        <f t="shared" si="107"/>
        <v/>
      </c>
      <c r="FR33" s="701" t="str">
        <f t="shared" si="108"/>
        <v/>
      </c>
      <c r="FS33" s="66">
        <f t="shared" si="109"/>
        <v>0</v>
      </c>
      <c r="FT33" s="701" t="str">
        <f t="shared" si="110"/>
        <v/>
      </c>
      <c r="FU33" s="146" t="str">
        <f t="shared" si="111"/>
        <v/>
      </c>
      <c r="FV33" s="701" t="str">
        <f t="shared" si="112"/>
        <v/>
      </c>
      <c r="FW33" s="66">
        <f t="shared" si="113"/>
        <v>0</v>
      </c>
      <c r="FX33" s="701" t="str">
        <f t="shared" si="114"/>
        <v/>
      </c>
      <c r="FY33" s="146" t="str">
        <f t="shared" si="115"/>
        <v/>
      </c>
      <c r="FZ33" s="701" t="str">
        <f t="shared" si="116"/>
        <v/>
      </c>
      <c r="GA33" s="66">
        <f t="shared" si="117"/>
        <v>0</v>
      </c>
      <c r="GB33" s="701" t="str">
        <f t="shared" si="118"/>
        <v/>
      </c>
      <c r="GC33" s="146" t="str">
        <f t="shared" si="119"/>
        <v/>
      </c>
      <c r="GD33" s="701" t="str">
        <f t="shared" si="120"/>
        <v/>
      </c>
      <c r="GE33" s="66">
        <f t="shared" si="121"/>
        <v>0</v>
      </c>
      <c r="GF33" s="701" t="str">
        <f t="shared" si="122"/>
        <v/>
      </c>
      <c r="GG33" s="146" t="str">
        <f t="shared" si="123"/>
        <v/>
      </c>
      <c r="GH33" s="701" t="str">
        <f t="shared" si="124"/>
        <v/>
      </c>
      <c r="GI33" s="66">
        <f t="shared" si="125"/>
        <v>0</v>
      </c>
      <c r="GJ33" s="701" t="str">
        <f t="shared" si="126"/>
        <v/>
      </c>
      <c r="GK33" s="146" t="str">
        <f t="shared" si="127"/>
        <v/>
      </c>
      <c r="GL33" s="701" t="str">
        <f t="shared" si="128"/>
        <v/>
      </c>
      <c r="GM33" s="66">
        <f t="shared" si="129"/>
        <v>0</v>
      </c>
      <c r="GN33" s="701" t="str">
        <f t="shared" si="130"/>
        <v/>
      </c>
      <c r="GO33" s="146" t="str">
        <f t="shared" si="131"/>
        <v/>
      </c>
      <c r="GP33" s="701" t="str">
        <f t="shared" si="132"/>
        <v/>
      </c>
      <c r="GQ33" s="66">
        <f t="shared" si="133"/>
        <v>0</v>
      </c>
      <c r="GR33" s="701" t="str">
        <f t="shared" si="134"/>
        <v/>
      </c>
      <c r="GS33" s="146" t="str">
        <f t="shared" si="135"/>
        <v/>
      </c>
      <c r="GT33" s="701" t="str">
        <f t="shared" si="136"/>
        <v/>
      </c>
      <c r="GU33" s="66">
        <f t="shared" si="137"/>
        <v>0</v>
      </c>
      <c r="GV33" s="701" t="str">
        <f t="shared" si="138"/>
        <v/>
      </c>
      <c r="GW33" s="146" t="str">
        <f t="shared" si="139"/>
        <v/>
      </c>
      <c r="GX33" s="701" t="str">
        <f t="shared" si="140"/>
        <v/>
      </c>
      <c r="GY33" s="66">
        <f t="shared" si="141"/>
        <v>0</v>
      </c>
      <c r="GZ33" s="701" t="str">
        <f t="shared" si="142"/>
        <v/>
      </c>
      <c r="HA33" s="146" t="str">
        <f t="shared" si="143"/>
        <v/>
      </c>
      <c r="HB33" s="701" t="str">
        <f t="shared" si="144"/>
        <v/>
      </c>
      <c r="HC33" s="66">
        <f t="shared" si="145"/>
        <v>0</v>
      </c>
      <c r="HD33" s="701" t="str">
        <f t="shared" si="146"/>
        <v/>
      </c>
      <c r="HE33" s="146" t="str">
        <f t="shared" si="147"/>
        <v/>
      </c>
      <c r="HF33" s="701" t="str">
        <f t="shared" si="148"/>
        <v/>
      </c>
      <c r="HG33" s="66">
        <f t="shared" si="149"/>
        <v>0</v>
      </c>
      <c r="HH33" s="701" t="str">
        <f t="shared" si="150"/>
        <v/>
      </c>
      <c r="HI33" s="146" t="str">
        <f t="shared" si="151"/>
        <v/>
      </c>
      <c r="HJ33" s="701" t="str">
        <f t="shared" si="152"/>
        <v/>
      </c>
      <c r="HK33" s="66">
        <f t="shared" si="153"/>
        <v>0</v>
      </c>
      <c r="HL33" s="701" t="str">
        <f t="shared" si="154"/>
        <v/>
      </c>
      <c r="HM33" s="146" t="str">
        <f t="shared" si="155"/>
        <v/>
      </c>
      <c r="HN33" s="701" t="str">
        <f t="shared" si="156"/>
        <v/>
      </c>
      <c r="HO33" s="66">
        <f t="shared" si="157"/>
        <v>0</v>
      </c>
      <c r="HP33" s="701" t="str">
        <f t="shared" si="158"/>
        <v/>
      </c>
      <c r="HQ33" s="146" t="str">
        <f t="shared" si="159"/>
        <v/>
      </c>
      <c r="HR33" s="701" t="str">
        <f t="shared" si="160"/>
        <v/>
      </c>
      <c r="HS33" s="66">
        <f t="shared" si="161"/>
        <v>0</v>
      </c>
      <c r="HT33" s="701" t="str">
        <f t="shared" si="162"/>
        <v/>
      </c>
      <c r="HU33" s="146" t="str">
        <f t="shared" si="163"/>
        <v/>
      </c>
      <c r="HV33" s="701" t="str">
        <f t="shared" si="164"/>
        <v/>
      </c>
      <c r="HW33" s="66">
        <f t="shared" si="165"/>
        <v>0</v>
      </c>
      <c r="HX33" s="701" t="str">
        <f t="shared" si="166"/>
        <v/>
      </c>
      <c r="HY33" s="146" t="str">
        <f t="shared" si="167"/>
        <v/>
      </c>
      <c r="HZ33" s="701" t="str">
        <f t="shared" si="168"/>
        <v/>
      </c>
      <c r="IA33" s="66">
        <f t="shared" si="169"/>
        <v>0</v>
      </c>
      <c r="IB33" s="701" t="str">
        <f t="shared" si="170"/>
        <v/>
      </c>
      <c r="IC33" s="146" t="str">
        <f t="shared" si="171"/>
        <v/>
      </c>
      <c r="ID33" s="701" t="str">
        <f t="shared" si="172"/>
        <v/>
      </c>
      <c r="IE33" s="66">
        <f t="shared" si="173"/>
        <v>0</v>
      </c>
      <c r="IF33" s="701" t="str">
        <f t="shared" si="174"/>
        <v/>
      </c>
      <c r="IG33" s="146" t="str">
        <f t="shared" si="175"/>
        <v/>
      </c>
      <c r="IH33" s="701" t="str">
        <f t="shared" si="176"/>
        <v/>
      </c>
      <c r="II33" s="66">
        <f t="shared" si="177"/>
        <v>0</v>
      </c>
      <c r="IJ33" s="701" t="str">
        <f t="shared" si="178"/>
        <v/>
      </c>
      <c r="IK33" s="146" t="str">
        <f t="shared" si="179"/>
        <v/>
      </c>
      <c r="IL33" s="701" t="str">
        <f t="shared" si="180"/>
        <v/>
      </c>
      <c r="IM33" s="66">
        <f t="shared" si="181"/>
        <v>0</v>
      </c>
      <c r="IN33" s="701" t="str">
        <f t="shared" si="182"/>
        <v/>
      </c>
      <c r="IO33" s="146" t="str">
        <f t="shared" si="183"/>
        <v/>
      </c>
      <c r="IP33" s="701" t="str">
        <f t="shared" si="184"/>
        <v/>
      </c>
      <c r="IQ33" s="66">
        <f t="shared" si="185"/>
        <v>0</v>
      </c>
      <c r="IR33" s="701" t="str">
        <f t="shared" si="186"/>
        <v/>
      </c>
      <c r="IS33" s="146" t="str">
        <f t="shared" si="187"/>
        <v/>
      </c>
      <c r="IT33" s="701" t="str">
        <f t="shared" si="188"/>
        <v/>
      </c>
      <c r="IU33" s="66">
        <f t="shared" si="189"/>
        <v>0</v>
      </c>
      <c r="IV33" s="701" t="str">
        <f t="shared" si="190"/>
        <v/>
      </c>
      <c r="IW33" s="146" t="str">
        <f t="shared" si="191"/>
        <v/>
      </c>
      <c r="IX33" s="701" t="str">
        <f t="shared" si="192"/>
        <v/>
      </c>
      <c r="IY33" s="66">
        <f t="shared" si="193"/>
        <v>0</v>
      </c>
    </row>
    <row r="34" spans="1:259" s="3" customFormat="1" ht="18" customHeight="1" thickTop="1" thickBot="1" x14ac:dyDescent="0.35">
      <c r="A34" s="1468" t="str">
        <f t="shared" si="194"/>
        <v/>
      </c>
      <c r="B34" s="780" t="str">
        <f t="shared" si="6"/>
        <v/>
      </c>
      <c r="D34" s="525" t="str">
        <f t="shared" si="234"/>
        <v/>
      </c>
      <c r="E34" s="522" t="str">
        <f>IF(DO63="","",SUM($DO$54:DO63))</f>
        <v/>
      </c>
      <c r="F34" s="1232"/>
      <c r="G34" s="1233"/>
      <c r="H34" s="1234"/>
      <c r="I34" s="1228"/>
      <c r="J34" s="1229"/>
      <c r="K34" s="1230"/>
      <c r="L34" s="1270" t="str">
        <f>IF('Quadro 2'!G22="","",'Quadro 2'!G22)</f>
        <v/>
      </c>
      <c r="M34" s="1270" t="str">
        <f t="shared" si="195"/>
        <v/>
      </c>
      <c r="N34" s="1459" t="str">
        <f t="shared" si="196"/>
        <v/>
      </c>
      <c r="O34" s="1480" t="str">
        <f t="shared" si="197"/>
        <v/>
      </c>
      <c r="P34" s="1271" t="str">
        <f t="shared" si="198"/>
        <v/>
      </c>
      <c r="Q34" s="1489" t="str">
        <f t="shared" si="199"/>
        <v/>
      </c>
      <c r="R34" s="1426" t="str">
        <f t="shared" si="7"/>
        <v/>
      </c>
      <c r="S34" s="848" t="str">
        <f t="shared" si="8"/>
        <v/>
      </c>
      <c r="T34" s="58" t="str">
        <f t="shared" si="9"/>
        <v/>
      </c>
      <c r="U34" s="1133"/>
      <c r="V34" s="143" t="str">
        <f t="shared" si="200"/>
        <v/>
      </c>
      <c r="W34" s="849" t="str">
        <f>IF(OR(H34="",V34="",V34=0),"",IF($V34&gt;'Quadro 1'!$G$23,'Quadro 1'!$G$23,IF($V34&lt;'Quadro 1'!$G$10,'Quadro 1'!$G$10,MIN($X34,$Y34))))</f>
        <v/>
      </c>
      <c r="X34" s="850" t="str">
        <f>IF($V34&lt;='Quadro 1'!$G$10,'Quadro 1'!$G$10,IF($V34&lt;='Quadro 1'!$G$11,'Quadro 1'!$G$11,IF($V34&lt;='Quadro 1'!$G$12,'Quadro 1'!$G$12,IF($V34&lt;='Quadro 1'!$G$13,'Quadro 1'!$G$13,IF($V34&lt;='Quadro 1'!$G$14,'Quadro 1'!$G$14,IF($V34&lt;='Quadro 1'!$G$15,'Quadro 1'!$G$15,IF($V34&lt;='Quadro 1'!$G$16,'Quadro 1'!$G$16,"")))))))</f>
        <v/>
      </c>
      <c r="Y34" s="851" t="str">
        <f>IF(OR(V34="",V34=0),"",IF($V34&lt;='Quadro 1'!$G$17,'Quadro 1'!$G$17,IF($V34&lt;='Quadro 1'!$G$18,'Quadro 1'!$G$18,IF($V34&lt;='Quadro 1'!$G$19,'Quadro 1'!$G$19,IF($V34&lt;='Quadro 1'!$G$20,'Quadro 1'!$G$20,IF($V34&lt;='Quadro 1'!$G$21,'Quadro 1'!$G$21,IF($V34&lt;='Quadro 1'!$G$22,'Quadro 1'!$G$22,IF($V34&lt;='Quadro 1'!$G$23,'Quadro 1'!$G$23,'Quadro 1'!$G$23))))))))</f>
        <v/>
      </c>
      <c r="Z34" s="852" t="str">
        <f>IF(W34="","",LOOKUP(W34,'Quadro 1'!$G$9:$G$23,'Quadro 1'!$H$9:$H$23))</f>
        <v/>
      </c>
      <c r="AA34" s="1417" t="str">
        <f>IF(W34="","",LOOKUP(W34,'Quadro 1'!$G$9:$G$23,'Quadro 1'!$D$9:$D$23))</f>
        <v/>
      </c>
      <c r="AB34" s="853" t="str">
        <f>IF(W34="","",LOOKUP(W34,'Quadro 1'!$G$9:$G$23,'Quadro 1'!$E$9:$E$23))</f>
        <v/>
      </c>
      <c r="AC34" s="1272" t="str">
        <f t="shared" si="201"/>
        <v/>
      </c>
      <c r="AD34" s="1274" t="str">
        <f t="shared" ref="AD34:AD49" si="240">IFERROR(IF(OR($G34="",H34=0,$DJ$52=""),"",IF(BH34=0,(BE34-K34*$AU$19*$B$18),BH34)),"")</f>
        <v/>
      </c>
      <c r="AE34" s="1392" t="str">
        <f t="shared" si="202"/>
        <v/>
      </c>
      <c r="AF34" s="1395" t="str">
        <f t="shared" si="203"/>
        <v/>
      </c>
      <c r="AG34" s="1396" t="str">
        <f t="shared" si="204"/>
        <v/>
      </c>
      <c r="AH34" s="1398" t="str">
        <f t="shared" si="11"/>
        <v/>
      </c>
      <c r="AI34" s="1490" t="str">
        <f t="shared" si="235"/>
        <v/>
      </c>
      <c r="AJ34" s="1502" t="str">
        <f t="shared" si="239"/>
        <v/>
      </c>
      <c r="AK34" s="1503"/>
      <c r="AL34" s="1503"/>
      <c r="AM34" s="1504"/>
      <c r="AN34" s="1275" t="str">
        <f t="shared" si="12"/>
        <v/>
      </c>
      <c r="AO34" s="1502" t="str">
        <f t="shared" si="13"/>
        <v/>
      </c>
      <c r="AP34" s="1507"/>
      <c r="AQ34" s="1504"/>
      <c r="AR34" s="847"/>
      <c r="AS34" s="1258">
        <f t="shared" si="206"/>
        <v>0</v>
      </c>
      <c r="AT34" s="1256">
        <f t="shared" si="207"/>
        <v>0</v>
      </c>
      <c r="AU34" s="1381">
        <f t="shared" si="208"/>
        <v>1</v>
      </c>
      <c r="AV34" s="157" t="str">
        <f t="shared" si="14"/>
        <v/>
      </c>
      <c r="AW34" s="87" t="str">
        <f t="shared" si="236"/>
        <v/>
      </c>
      <c r="AX34" s="87" t="str">
        <f t="shared" si="15"/>
        <v/>
      </c>
      <c r="AY34" s="1341" t="str">
        <f t="shared" si="209"/>
        <v/>
      </c>
      <c r="AZ34" s="701">
        <f t="shared" si="210"/>
        <v>1</v>
      </c>
      <c r="BA34" s="1338" t="str">
        <f t="shared" si="211"/>
        <v/>
      </c>
      <c r="BB34" s="1335" t="str">
        <f t="shared" si="212"/>
        <v/>
      </c>
      <c r="BC34" s="86" t="str">
        <f t="shared" si="213"/>
        <v/>
      </c>
      <c r="BD34" s="701">
        <f t="shared" si="214"/>
        <v>1</v>
      </c>
      <c r="BE34" s="1273" t="str">
        <f t="shared" si="215"/>
        <v/>
      </c>
      <c r="BF34" s="86" t="str">
        <f t="shared" si="16"/>
        <v/>
      </c>
      <c r="BG34" s="57" t="str">
        <f t="shared" si="17"/>
        <v/>
      </c>
      <c r="BH34" s="1329">
        <f t="shared" si="216"/>
        <v>0</v>
      </c>
      <c r="BI34" s="88">
        <f t="shared" si="217"/>
        <v>0</v>
      </c>
      <c r="BJ34" s="88" t="str">
        <f t="shared" si="18"/>
        <v/>
      </c>
      <c r="BK34" s="88" t="str">
        <f t="shared" si="19"/>
        <v/>
      </c>
      <c r="BL34" s="88" t="str">
        <f t="shared" si="20"/>
        <v/>
      </c>
      <c r="BM34" s="88" t="str">
        <f t="shared" si="21"/>
        <v/>
      </c>
      <c r="BN34" s="88" t="str">
        <f t="shared" si="22"/>
        <v/>
      </c>
      <c r="BO34" s="88" t="str">
        <f t="shared" si="23"/>
        <v/>
      </c>
      <c r="BP34" s="88" t="str">
        <f t="shared" si="24"/>
        <v/>
      </c>
      <c r="BQ34" s="88" t="str">
        <f t="shared" si="25"/>
        <v/>
      </c>
      <c r="BR34" s="88" t="str">
        <f t="shared" si="26"/>
        <v/>
      </c>
      <c r="BS34" s="88" t="str">
        <f t="shared" si="27"/>
        <v/>
      </c>
      <c r="BT34" s="88" t="str">
        <f t="shared" si="28"/>
        <v/>
      </c>
      <c r="BU34" s="88" t="str">
        <f t="shared" si="29"/>
        <v/>
      </c>
      <c r="BV34" s="88" t="str">
        <f t="shared" si="30"/>
        <v/>
      </c>
      <c r="BW34" s="88" t="str">
        <f t="shared" si="31"/>
        <v/>
      </c>
      <c r="BX34" s="88" t="str">
        <f t="shared" si="32"/>
        <v/>
      </c>
      <c r="BY34" s="88" t="str">
        <f t="shared" si="33"/>
        <v/>
      </c>
      <c r="BZ34" s="88" t="str">
        <f t="shared" si="34"/>
        <v/>
      </c>
      <c r="CA34" s="88" t="str">
        <f t="shared" si="35"/>
        <v/>
      </c>
      <c r="CB34" s="88" t="str">
        <f t="shared" si="36"/>
        <v/>
      </c>
      <c r="CC34" s="88" t="str">
        <f t="shared" si="37"/>
        <v/>
      </c>
      <c r="CD34" s="88" t="str">
        <f t="shared" si="38"/>
        <v/>
      </c>
      <c r="CE34" s="88" t="str">
        <f t="shared" si="39"/>
        <v/>
      </c>
      <c r="CF34" s="88" t="str">
        <f t="shared" si="40"/>
        <v/>
      </c>
      <c r="CG34" s="88" t="str">
        <f t="shared" si="41"/>
        <v/>
      </c>
      <c r="CH34" s="88" t="str">
        <f t="shared" si="42"/>
        <v/>
      </c>
      <c r="CI34" s="790" t="str">
        <f t="shared" si="43"/>
        <v>0</v>
      </c>
      <c r="CJ34" s="791">
        <f t="shared" si="44"/>
        <v>0</v>
      </c>
      <c r="CK34" s="784" t="str">
        <f t="shared" si="45"/>
        <v>NA</v>
      </c>
      <c r="CL34" s="784" t="str">
        <f t="shared" si="46"/>
        <v/>
      </c>
      <c r="CM34" s="784" t="str">
        <f t="shared" si="218"/>
        <v/>
      </c>
      <c r="CN34" s="790" t="str">
        <f t="shared" si="47"/>
        <v/>
      </c>
      <c r="CO34" s="790" t="str">
        <f t="shared" si="48"/>
        <v/>
      </c>
      <c r="CP34" s="784" t="str">
        <f t="shared" si="49"/>
        <v/>
      </c>
      <c r="CQ34" s="790" t="str">
        <f t="shared" si="50"/>
        <v/>
      </c>
      <c r="CR34" s="524">
        <f t="shared" si="51"/>
        <v>0</v>
      </c>
      <c r="CS34" s="257" t="str">
        <f t="shared" si="219"/>
        <v/>
      </c>
      <c r="CT34" s="496">
        <f t="shared" si="238"/>
        <v>155.1</v>
      </c>
      <c r="CU34" s="496">
        <f t="shared" si="237"/>
        <v>155.1</v>
      </c>
      <c r="CV34" s="496">
        <f t="shared" si="220"/>
        <v>155.1</v>
      </c>
      <c r="CW34" s="495" t="str">
        <f t="shared" si="52"/>
        <v/>
      </c>
      <c r="CX34" s="496" t="str">
        <f t="shared" si="53"/>
        <v/>
      </c>
      <c r="CY34" s="496" t="str">
        <f t="shared" si="221"/>
        <v/>
      </c>
      <c r="CZ34" s="1456">
        <f t="shared" si="222"/>
        <v>1</v>
      </c>
      <c r="DA34" s="157" t="str">
        <f t="shared" si="223"/>
        <v/>
      </c>
      <c r="DB34" s="213" t="str">
        <f t="shared" si="224"/>
        <v/>
      </c>
      <c r="DC34" s="213" t="str">
        <f t="shared" si="225"/>
        <v/>
      </c>
      <c r="DD34" s="157" t="str">
        <f t="shared" si="54"/>
        <v/>
      </c>
      <c r="DE34" s="157" t="str">
        <f t="shared" si="55"/>
        <v/>
      </c>
      <c r="DF34" s="157" t="str">
        <f t="shared" si="56"/>
        <v/>
      </c>
      <c r="DG34" s="157" t="str">
        <f t="shared" si="57"/>
        <v/>
      </c>
      <c r="DH34" s="157" t="str">
        <f t="shared" si="58"/>
        <v/>
      </c>
      <c r="DI34" s="157" t="str">
        <f t="shared" si="59"/>
        <v/>
      </c>
      <c r="DJ34" s="157" t="str">
        <f t="shared" si="60"/>
        <v/>
      </c>
      <c r="DK34" s="157" t="str">
        <f t="shared" si="61"/>
        <v/>
      </c>
      <c r="DL34" s="157" t="str">
        <f t="shared" si="62"/>
        <v/>
      </c>
      <c r="DM34" s="157" t="str">
        <f t="shared" si="63"/>
        <v/>
      </c>
      <c r="DN34" s="33">
        <v>10</v>
      </c>
      <c r="DO34" s="1466" t="str">
        <f t="shared" si="226"/>
        <v/>
      </c>
      <c r="DP34" s="1014" t="str">
        <f t="shared" si="64"/>
        <v/>
      </c>
      <c r="DQ34" s="1026" t="str">
        <f t="shared" si="227"/>
        <v/>
      </c>
      <c r="DR34" s="1026" t="str">
        <f t="shared" si="228"/>
        <v/>
      </c>
      <c r="DS34" s="93" t="str">
        <f t="shared" si="65"/>
        <v/>
      </c>
      <c r="DT34" s="213" t="str">
        <f t="shared" si="66"/>
        <v/>
      </c>
      <c r="DU34" s="144" t="str">
        <f t="shared" si="67"/>
        <v/>
      </c>
      <c r="DV34" s="144" t="str">
        <f t="shared" si="68"/>
        <v/>
      </c>
      <c r="DW34" s="144" t="str">
        <f t="shared" si="69"/>
        <v/>
      </c>
      <c r="DX34" s="144" t="str">
        <f t="shared" si="70"/>
        <v/>
      </c>
      <c r="DY34" s="144" t="str">
        <f t="shared" si="71"/>
        <v/>
      </c>
      <c r="DZ34" s="144" t="str">
        <f t="shared" si="72"/>
        <v/>
      </c>
      <c r="EA34" s="144" t="str">
        <f t="shared" si="73"/>
        <v/>
      </c>
      <c r="EB34" s="144" t="str">
        <f t="shared" si="74"/>
        <v/>
      </c>
      <c r="EC34" s="144" t="str">
        <f t="shared" si="75"/>
        <v/>
      </c>
      <c r="ED34" s="144" t="str">
        <f t="shared" si="76"/>
        <v/>
      </c>
      <c r="EE34" s="144" t="str">
        <f t="shared" si="77"/>
        <v/>
      </c>
      <c r="EF34" s="144" t="str">
        <f t="shared" si="78"/>
        <v/>
      </c>
      <c r="EG34" s="144" t="str">
        <f t="shared" si="79"/>
        <v/>
      </c>
      <c r="EH34" s="144" t="str">
        <f t="shared" si="80"/>
        <v/>
      </c>
      <c r="EI34" s="144" t="str">
        <f t="shared" si="81"/>
        <v/>
      </c>
      <c r="EJ34" s="144" t="str">
        <f t="shared" si="82"/>
        <v/>
      </c>
      <c r="EK34" s="144" t="str">
        <f t="shared" si="83"/>
        <v/>
      </c>
      <c r="EL34" s="144" t="str">
        <f t="shared" si="84"/>
        <v/>
      </c>
      <c r="EM34" s="144" t="str">
        <f t="shared" si="85"/>
        <v/>
      </c>
      <c r="EN34" s="719" t="str">
        <f t="shared" si="86"/>
        <v/>
      </c>
      <c r="EO34" s="719" t="str">
        <f t="shared" si="87"/>
        <v/>
      </c>
      <c r="EP34" s="719" t="str">
        <f t="shared" si="88"/>
        <v/>
      </c>
      <c r="EQ34" s="719" t="str">
        <f t="shared" si="89"/>
        <v/>
      </c>
      <c r="ER34" s="719" t="str">
        <f t="shared" si="90"/>
        <v/>
      </c>
      <c r="EU34" s="33">
        <v>10</v>
      </c>
      <c r="EV34" s="735" t="str">
        <f t="shared" si="91"/>
        <v>Crítico</v>
      </c>
      <c r="EW34" s="741">
        <f t="shared" si="92"/>
        <v>1</v>
      </c>
      <c r="EX34" s="121" t="str">
        <f t="shared" si="93"/>
        <v>Crítico</v>
      </c>
      <c r="EY34" s="124">
        <f t="shared" si="229"/>
        <v>1</v>
      </c>
      <c r="EZ34" s="121" t="str">
        <f t="shared" si="94"/>
        <v>Crítico</v>
      </c>
      <c r="FA34" s="122">
        <f t="shared" si="95"/>
        <v>1</v>
      </c>
      <c r="FB34" s="18">
        <f t="shared" si="96"/>
        <v>0</v>
      </c>
      <c r="FC34" s="254" t="str">
        <f t="shared" si="97"/>
        <v/>
      </c>
      <c r="FD34" s="76" t="str">
        <f t="shared" si="230"/>
        <v/>
      </c>
      <c r="FE34" s="18">
        <f t="shared" si="231"/>
        <v>0</v>
      </c>
      <c r="FF34" s="703">
        <f t="shared" si="98"/>
        <v>0</v>
      </c>
      <c r="FG34" s="702">
        <f t="shared" si="99"/>
        <v>0</v>
      </c>
      <c r="FH34" s="19">
        <f t="shared" si="232"/>
        <v>0</v>
      </c>
      <c r="FI34" s="238" t="str">
        <f t="shared" si="233"/>
        <v/>
      </c>
      <c r="FJ34" s="701" t="str">
        <f t="shared" si="100"/>
        <v/>
      </c>
      <c r="FK34" s="66">
        <f t="shared" si="101"/>
        <v>0</v>
      </c>
      <c r="FL34" s="701" t="str">
        <f t="shared" si="102"/>
        <v/>
      </c>
      <c r="FM34" s="146" t="str">
        <f t="shared" si="103"/>
        <v/>
      </c>
      <c r="FN34" s="701" t="str">
        <f t="shared" si="104"/>
        <v/>
      </c>
      <c r="FO34" s="66">
        <f t="shared" si="105"/>
        <v>0</v>
      </c>
      <c r="FP34" s="701" t="str">
        <f t="shared" si="106"/>
        <v/>
      </c>
      <c r="FQ34" s="146" t="str">
        <f t="shared" si="107"/>
        <v/>
      </c>
      <c r="FR34" s="701" t="str">
        <f t="shared" si="108"/>
        <v/>
      </c>
      <c r="FS34" s="66">
        <f t="shared" si="109"/>
        <v>0</v>
      </c>
      <c r="FT34" s="701" t="str">
        <f t="shared" si="110"/>
        <v/>
      </c>
      <c r="FU34" s="146" t="str">
        <f t="shared" si="111"/>
        <v/>
      </c>
      <c r="FV34" s="701" t="str">
        <f t="shared" si="112"/>
        <v/>
      </c>
      <c r="FW34" s="66">
        <f t="shared" si="113"/>
        <v>0</v>
      </c>
      <c r="FX34" s="701" t="str">
        <f t="shared" si="114"/>
        <v/>
      </c>
      <c r="FY34" s="146" t="str">
        <f t="shared" si="115"/>
        <v/>
      </c>
      <c r="FZ34" s="701" t="str">
        <f t="shared" si="116"/>
        <v/>
      </c>
      <c r="GA34" s="66">
        <f t="shared" si="117"/>
        <v>0</v>
      </c>
      <c r="GB34" s="701" t="str">
        <f t="shared" si="118"/>
        <v/>
      </c>
      <c r="GC34" s="146" t="str">
        <f t="shared" si="119"/>
        <v/>
      </c>
      <c r="GD34" s="701" t="str">
        <f t="shared" si="120"/>
        <v/>
      </c>
      <c r="GE34" s="66">
        <f t="shared" si="121"/>
        <v>0</v>
      </c>
      <c r="GF34" s="701" t="str">
        <f t="shared" si="122"/>
        <v/>
      </c>
      <c r="GG34" s="146" t="str">
        <f t="shared" si="123"/>
        <v/>
      </c>
      <c r="GH34" s="701" t="str">
        <f t="shared" si="124"/>
        <v/>
      </c>
      <c r="GI34" s="66">
        <f t="shared" si="125"/>
        <v>0</v>
      </c>
      <c r="GJ34" s="701" t="str">
        <f t="shared" si="126"/>
        <v/>
      </c>
      <c r="GK34" s="146" t="str">
        <f t="shared" si="127"/>
        <v/>
      </c>
      <c r="GL34" s="701" t="str">
        <f t="shared" si="128"/>
        <v/>
      </c>
      <c r="GM34" s="66">
        <f t="shared" si="129"/>
        <v>0</v>
      </c>
      <c r="GN34" s="701" t="str">
        <f t="shared" si="130"/>
        <v/>
      </c>
      <c r="GO34" s="146" t="str">
        <f t="shared" si="131"/>
        <v/>
      </c>
      <c r="GP34" s="701" t="str">
        <f t="shared" si="132"/>
        <v/>
      </c>
      <c r="GQ34" s="66">
        <f t="shared" si="133"/>
        <v>0</v>
      </c>
      <c r="GR34" s="701" t="str">
        <f t="shared" si="134"/>
        <v/>
      </c>
      <c r="GS34" s="146" t="str">
        <f t="shared" si="135"/>
        <v/>
      </c>
      <c r="GT34" s="701" t="str">
        <f t="shared" si="136"/>
        <v/>
      </c>
      <c r="GU34" s="66">
        <f t="shared" si="137"/>
        <v>0</v>
      </c>
      <c r="GV34" s="701" t="str">
        <f t="shared" si="138"/>
        <v/>
      </c>
      <c r="GW34" s="146" t="str">
        <f t="shared" si="139"/>
        <v/>
      </c>
      <c r="GX34" s="701" t="str">
        <f t="shared" si="140"/>
        <v/>
      </c>
      <c r="GY34" s="66">
        <f t="shared" si="141"/>
        <v>0</v>
      </c>
      <c r="GZ34" s="701" t="str">
        <f t="shared" si="142"/>
        <v/>
      </c>
      <c r="HA34" s="146" t="str">
        <f t="shared" si="143"/>
        <v/>
      </c>
      <c r="HB34" s="701" t="str">
        <f t="shared" si="144"/>
        <v/>
      </c>
      <c r="HC34" s="66">
        <f t="shared" si="145"/>
        <v>0</v>
      </c>
      <c r="HD34" s="701" t="str">
        <f t="shared" si="146"/>
        <v/>
      </c>
      <c r="HE34" s="146" t="str">
        <f t="shared" si="147"/>
        <v/>
      </c>
      <c r="HF34" s="701" t="str">
        <f t="shared" si="148"/>
        <v/>
      </c>
      <c r="HG34" s="66">
        <f t="shared" si="149"/>
        <v>0</v>
      </c>
      <c r="HH34" s="701" t="str">
        <f t="shared" si="150"/>
        <v/>
      </c>
      <c r="HI34" s="146" t="str">
        <f t="shared" si="151"/>
        <v/>
      </c>
      <c r="HJ34" s="701" t="str">
        <f t="shared" si="152"/>
        <v/>
      </c>
      <c r="HK34" s="66">
        <f t="shared" si="153"/>
        <v>0</v>
      </c>
      <c r="HL34" s="701" t="str">
        <f t="shared" si="154"/>
        <v/>
      </c>
      <c r="HM34" s="146" t="str">
        <f t="shared" si="155"/>
        <v/>
      </c>
      <c r="HN34" s="701" t="str">
        <f t="shared" si="156"/>
        <v/>
      </c>
      <c r="HO34" s="66">
        <f t="shared" si="157"/>
        <v>0</v>
      </c>
      <c r="HP34" s="701" t="str">
        <f t="shared" si="158"/>
        <v/>
      </c>
      <c r="HQ34" s="146" t="str">
        <f t="shared" si="159"/>
        <v/>
      </c>
      <c r="HR34" s="701" t="str">
        <f t="shared" si="160"/>
        <v/>
      </c>
      <c r="HS34" s="66">
        <f t="shared" si="161"/>
        <v>0</v>
      </c>
      <c r="HT34" s="701" t="str">
        <f t="shared" si="162"/>
        <v/>
      </c>
      <c r="HU34" s="146" t="str">
        <f t="shared" si="163"/>
        <v/>
      </c>
      <c r="HV34" s="701" t="str">
        <f t="shared" si="164"/>
        <v/>
      </c>
      <c r="HW34" s="66">
        <f t="shared" si="165"/>
        <v>0</v>
      </c>
      <c r="HX34" s="701" t="str">
        <f t="shared" si="166"/>
        <v/>
      </c>
      <c r="HY34" s="146" t="str">
        <f t="shared" si="167"/>
        <v/>
      </c>
      <c r="HZ34" s="701" t="str">
        <f t="shared" si="168"/>
        <v/>
      </c>
      <c r="IA34" s="66">
        <f t="shared" si="169"/>
        <v>0</v>
      </c>
      <c r="IB34" s="701" t="str">
        <f t="shared" si="170"/>
        <v/>
      </c>
      <c r="IC34" s="146" t="str">
        <f t="shared" si="171"/>
        <v/>
      </c>
      <c r="ID34" s="701" t="str">
        <f t="shared" si="172"/>
        <v/>
      </c>
      <c r="IE34" s="66">
        <f t="shared" si="173"/>
        <v>0</v>
      </c>
      <c r="IF34" s="701" t="str">
        <f t="shared" si="174"/>
        <v/>
      </c>
      <c r="IG34" s="146" t="str">
        <f t="shared" si="175"/>
        <v/>
      </c>
      <c r="IH34" s="701" t="str">
        <f t="shared" si="176"/>
        <v/>
      </c>
      <c r="II34" s="66">
        <f t="shared" si="177"/>
        <v>0</v>
      </c>
      <c r="IJ34" s="701" t="str">
        <f t="shared" si="178"/>
        <v/>
      </c>
      <c r="IK34" s="146" t="str">
        <f t="shared" si="179"/>
        <v/>
      </c>
      <c r="IL34" s="701" t="str">
        <f t="shared" si="180"/>
        <v/>
      </c>
      <c r="IM34" s="66">
        <f t="shared" si="181"/>
        <v>0</v>
      </c>
      <c r="IN34" s="701" t="str">
        <f t="shared" si="182"/>
        <v/>
      </c>
      <c r="IO34" s="146" t="str">
        <f t="shared" si="183"/>
        <v/>
      </c>
      <c r="IP34" s="701" t="str">
        <f t="shared" si="184"/>
        <v/>
      </c>
      <c r="IQ34" s="66">
        <f t="shared" si="185"/>
        <v>0</v>
      </c>
      <c r="IR34" s="701" t="str">
        <f t="shared" si="186"/>
        <v/>
      </c>
      <c r="IS34" s="146" t="str">
        <f t="shared" si="187"/>
        <v/>
      </c>
      <c r="IT34" s="701" t="str">
        <f t="shared" si="188"/>
        <v/>
      </c>
      <c r="IU34" s="66">
        <f t="shared" si="189"/>
        <v>0</v>
      </c>
      <c r="IV34" s="701" t="str">
        <f t="shared" si="190"/>
        <v/>
      </c>
      <c r="IW34" s="146" t="str">
        <f t="shared" si="191"/>
        <v/>
      </c>
      <c r="IX34" s="701" t="str">
        <f t="shared" si="192"/>
        <v/>
      </c>
      <c r="IY34" s="66">
        <f t="shared" si="193"/>
        <v>0</v>
      </c>
    </row>
    <row r="35" spans="1:259" s="3" customFormat="1" ht="18" customHeight="1" thickTop="1" thickBot="1" x14ac:dyDescent="0.35">
      <c r="A35" s="1468" t="str">
        <f t="shared" si="194"/>
        <v/>
      </c>
      <c r="B35" s="780" t="str">
        <f t="shared" si="6"/>
        <v/>
      </c>
      <c r="D35" s="525" t="str">
        <f>IF(AND(H35&lt;=$AU$7,OR(LEN(F35)&gt;1,LEN(G35)&gt;1),OR(LEFT(F35,1)="s",LEFT(G35,1)="s"),OR(RIGHT(G35,1)="0",RIGHT(G35,1)="1",RIGHT(G35,1)="2",RIGHT(G35,1)="3",RIGHT(G35,1)="4",RIGHT(G35,1)="5",RIGHT(G35,1)="6",RIGHT(G35,1)="7",RIGHT(G35,1)="8",RIGHT(G35,1)="9",RIGHT(F35,1)="0",RIGHT(F35,1)="1",RIGHT(F35,1)="2",RIGHT(F35,1)="3",RIGHT(F35,1)="4",RIGHT(F35,1)="5",RIGHT(F35,1)="6",RIGHT(F35,1)="7",RIGHT(F35,1)="8",RIGHT(F35,1)="9")),"s","")</f>
        <v/>
      </c>
      <c r="E35" s="522" t="str">
        <f>IF(DO64="","",SUM($DO$54:DO64))</f>
        <v/>
      </c>
      <c r="F35" s="1232"/>
      <c r="G35" s="1233"/>
      <c r="H35" s="1234"/>
      <c r="I35" s="1228"/>
      <c r="J35" s="1229"/>
      <c r="K35" s="1230"/>
      <c r="L35" s="1270" t="str">
        <f>IF('Quadro 2'!G23="","",'Quadro 2'!G23)</f>
        <v/>
      </c>
      <c r="M35" s="1270" t="str">
        <f t="shared" si="195"/>
        <v/>
      </c>
      <c r="N35" s="1459" t="str">
        <f t="shared" si="196"/>
        <v/>
      </c>
      <c r="O35" s="1480" t="str">
        <f t="shared" si="197"/>
        <v/>
      </c>
      <c r="P35" s="1271" t="str">
        <f t="shared" si="198"/>
        <v/>
      </c>
      <c r="Q35" s="1489" t="str">
        <f t="shared" si="199"/>
        <v/>
      </c>
      <c r="R35" s="1426" t="str">
        <f t="shared" si="7"/>
        <v/>
      </c>
      <c r="S35" s="848" t="str">
        <f t="shared" si="8"/>
        <v/>
      </c>
      <c r="T35" s="58" t="str">
        <f t="shared" si="9"/>
        <v/>
      </c>
      <c r="U35" s="1133"/>
      <c r="V35" s="143" t="str">
        <f t="shared" si="200"/>
        <v/>
      </c>
      <c r="W35" s="849" t="str">
        <f>IF(OR(H35="",V35="",V35=0),"",IF($V35&gt;'Quadro 1'!$G$23,'Quadro 1'!$G$23,IF($V35&lt;'Quadro 1'!$G$10,'Quadro 1'!$G$10,MIN($X35,$Y35))))</f>
        <v/>
      </c>
      <c r="X35" s="850" t="str">
        <f>IF($V35&lt;='Quadro 1'!$G$10,'Quadro 1'!$G$10,IF($V35&lt;='Quadro 1'!$G$11,'Quadro 1'!$G$11,IF($V35&lt;='Quadro 1'!$G$12,'Quadro 1'!$G$12,IF($V35&lt;='Quadro 1'!$G$13,'Quadro 1'!$G$13,IF($V35&lt;='Quadro 1'!$G$14,'Quadro 1'!$G$14,IF($V35&lt;='Quadro 1'!$G$15,'Quadro 1'!$G$15,IF($V35&lt;='Quadro 1'!$G$16,'Quadro 1'!$G$16,"")))))))</f>
        <v/>
      </c>
      <c r="Y35" s="851" t="str">
        <f>IF(OR(V35="",V35=0),"",IF($V35&lt;='Quadro 1'!$G$17,'Quadro 1'!$G$17,IF($V35&lt;='Quadro 1'!$G$18,'Quadro 1'!$G$18,IF($V35&lt;='Quadro 1'!$G$19,'Quadro 1'!$G$19,IF($V35&lt;='Quadro 1'!$G$20,'Quadro 1'!$G$20,IF($V35&lt;='Quadro 1'!$G$21,'Quadro 1'!$G$21,IF($V35&lt;='Quadro 1'!$G$22,'Quadro 1'!$G$22,IF($V35&lt;='Quadro 1'!$G$23,'Quadro 1'!$G$23,'Quadro 1'!$G$23))))))))</f>
        <v/>
      </c>
      <c r="Z35" s="852" t="str">
        <f>IF(W35="","",LOOKUP(W35,'Quadro 1'!$G$9:$G$23,'Quadro 1'!$H$9:$H$23))</f>
        <v/>
      </c>
      <c r="AA35" s="1417" t="str">
        <f>IF(W35="","",LOOKUP(W35,'Quadro 1'!$G$9:$G$23,'Quadro 1'!$D$9:$D$23))</f>
        <v/>
      </c>
      <c r="AB35" s="853" t="str">
        <f>IF(W35="","",LOOKUP(W35,'Quadro 1'!$G$9:$G$23,'Quadro 1'!$E$9:$E$23))</f>
        <v/>
      </c>
      <c r="AC35" s="1272" t="str">
        <f t="shared" si="201"/>
        <v/>
      </c>
      <c r="AD35" s="1274" t="str">
        <f t="shared" si="240"/>
        <v/>
      </c>
      <c r="AE35" s="1392" t="str">
        <f t="shared" si="202"/>
        <v/>
      </c>
      <c r="AF35" s="1395" t="str">
        <f t="shared" si="203"/>
        <v/>
      </c>
      <c r="AG35" s="1396" t="str">
        <f t="shared" si="204"/>
        <v/>
      </c>
      <c r="AH35" s="1398" t="str">
        <f t="shared" si="11"/>
        <v/>
      </c>
      <c r="AI35" s="1490" t="str">
        <f t="shared" si="235"/>
        <v/>
      </c>
      <c r="AJ35" s="1502" t="str">
        <f t="shared" si="239"/>
        <v/>
      </c>
      <c r="AK35" s="1503"/>
      <c r="AL35" s="1503"/>
      <c r="AM35" s="1504"/>
      <c r="AN35" s="1275" t="str">
        <f t="shared" si="12"/>
        <v/>
      </c>
      <c r="AO35" s="1502" t="str">
        <f t="shared" si="13"/>
        <v/>
      </c>
      <c r="AP35" s="1507"/>
      <c r="AQ35" s="1504"/>
      <c r="AR35" s="847"/>
      <c r="AS35" s="1258">
        <f t="shared" si="206"/>
        <v>0</v>
      </c>
      <c r="AT35" s="1256">
        <f t="shared" si="207"/>
        <v>0</v>
      </c>
      <c r="AU35" s="1381">
        <f t="shared" si="208"/>
        <v>1</v>
      </c>
      <c r="AV35" s="157" t="str">
        <f t="shared" si="14"/>
        <v/>
      </c>
      <c r="AW35" s="87" t="str">
        <f t="shared" si="236"/>
        <v/>
      </c>
      <c r="AX35" s="87" t="str">
        <f t="shared" si="15"/>
        <v/>
      </c>
      <c r="AY35" s="1341" t="str">
        <f t="shared" si="209"/>
        <v/>
      </c>
      <c r="AZ35" s="701">
        <f t="shared" si="210"/>
        <v>1</v>
      </c>
      <c r="BA35" s="1338" t="str">
        <f t="shared" si="211"/>
        <v/>
      </c>
      <c r="BB35" s="1335" t="str">
        <f t="shared" si="212"/>
        <v/>
      </c>
      <c r="BC35" s="86" t="str">
        <f t="shared" si="213"/>
        <v/>
      </c>
      <c r="BD35" s="701">
        <f t="shared" si="214"/>
        <v>1</v>
      </c>
      <c r="BE35" s="1273" t="str">
        <f t="shared" si="215"/>
        <v/>
      </c>
      <c r="BF35" s="86" t="str">
        <f t="shared" si="16"/>
        <v/>
      </c>
      <c r="BG35" s="57" t="str">
        <f t="shared" si="17"/>
        <v/>
      </c>
      <c r="BH35" s="1329">
        <f t="shared" si="216"/>
        <v>0</v>
      </c>
      <c r="BI35" s="88">
        <f t="shared" si="217"/>
        <v>0</v>
      </c>
      <c r="BJ35" s="88" t="str">
        <f t="shared" si="18"/>
        <v/>
      </c>
      <c r="BK35" s="88" t="str">
        <f t="shared" si="19"/>
        <v/>
      </c>
      <c r="BL35" s="88" t="str">
        <f t="shared" si="20"/>
        <v/>
      </c>
      <c r="BM35" s="88" t="str">
        <f t="shared" si="21"/>
        <v/>
      </c>
      <c r="BN35" s="88" t="str">
        <f t="shared" si="22"/>
        <v/>
      </c>
      <c r="BO35" s="88" t="str">
        <f t="shared" si="23"/>
        <v/>
      </c>
      <c r="BP35" s="88" t="str">
        <f t="shared" si="24"/>
        <v/>
      </c>
      <c r="BQ35" s="88" t="str">
        <f t="shared" si="25"/>
        <v/>
      </c>
      <c r="BR35" s="88" t="str">
        <f t="shared" si="26"/>
        <v/>
      </c>
      <c r="BS35" s="88" t="str">
        <f t="shared" si="27"/>
        <v/>
      </c>
      <c r="BT35" s="88" t="str">
        <f t="shared" si="28"/>
        <v/>
      </c>
      <c r="BU35" s="88" t="str">
        <f t="shared" si="29"/>
        <v/>
      </c>
      <c r="BV35" s="88" t="str">
        <f t="shared" si="30"/>
        <v/>
      </c>
      <c r="BW35" s="88" t="str">
        <f t="shared" si="31"/>
        <v/>
      </c>
      <c r="BX35" s="88" t="str">
        <f t="shared" si="32"/>
        <v/>
      </c>
      <c r="BY35" s="88" t="str">
        <f t="shared" si="33"/>
        <v/>
      </c>
      <c r="BZ35" s="88" t="str">
        <f t="shared" si="34"/>
        <v/>
      </c>
      <c r="CA35" s="88" t="str">
        <f t="shared" si="35"/>
        <v/>
      </c>
      <c r="CB35" s="88" t="str">
        <f t="shared" si="36"/>
        <v/>
      </c>
      <c r="CC35" s="88" t="str">
        <f t="shared" si="37"/>
        <v/>
      </c>
      <c r="CD35" s="88" t="str">
        <f t="shared" si="38"/>
        <v/>
      </c>
      <c r="CE35" s="88" t="str">
        <f t="shared" si="39"/>
        <v/>
      </c>
      <c r="CF35" s="88" t="str">
        <f t="shared" si="40"/>
        <v/>
      </c>
      <c r="CG35" s="88" t="str">
        <f t="shared" si="41"/>
        <v/>
      </c>
      <c r="CH35" s="88" t="str">
        <f t="shared" si="42"/>
        <v/>
      </c>
      <c r="CI35" s="790" t="str">
        <f t="shared" si="43"/>
        <v>0</v>
      </c>
      <c r="CJ35" s="791">
        <f t="shared" si="44"/>
        <v>0</v>
      </c>
      <c r="CK35" s="784" t="str">
        <f t="shared" si="45"/>
        <v>NA</v>
      </c>
      <c r="CL35" s="784" t="str">
        <f t="shared" si="46"/>
        <v/>
      </c>
      <c r="CM35" s="784" t="str">
        <f t="shared" si="218"/>
        <v/>
      </c>
      <c r="CN35" s="790" t="str">
        <f t="shared" si="47"/>
        <v/>
      </c>
      <c r="CO35" s="790" t="str">
        <f t="shared" si="48"/>
        <v/>
      </c>
      <c r="CP35" s="784" t="str">
        <f t="shared" si="49"/>
        <v/>
      </c>
      <c r="CQ35" s="790" t="str">
        <f t="shared" si="50"/>
        <v/>
      </c>
      <c r="CR35" s="524">
        <f t="shared" si="51"/>
        <v>0</v>
      </c>
      <c r="CS35" s="257" t="str">
        <f t="shared" si="219"/>
        <v/>
      </c>
      <c r="CT35" s="496">
        <f t="shared" si="238"/>
        <v>155.1</v>
      </c>
      <c r="CU35" s="496">
        <f t="shared" si="237"/>
        <v>155.1</v>
      </c>
      <c r="CV35" s="496">
        <f t="shared" si="220"/>
        <v>155.1</v>
      </c>
      <c r="CW35" s="495" t="str">
        <f t="shared" si="52"/>
        <v/>
      </c>
      <c r="CX35" s="496" t="str">
        <f t="shared" si="53"/>
        <v/>
      </c>
      <c r="CY35" s="496" t="str">
        <f t="shared" si="221"/>
        <v/>
      </c>
      <c r="CZ35" s="1456">
        <f t="shared" si="222"/>
        <v>1</v>
      </c>
      <c r="DA35" s="157" t="str">
        <f t="shared" si="223"/>
        <v/>
      </c>
      <c r="DB35" s="213" t="str">
        <f t="shared" si="224"/>
        <v/>
      </c>
      <c r="DC35" s="213" t="str">
        <f t="shared" si="225"/>
        <v/>
      </c>
      <c r="DD35" s="157" t="str">
        <f t="shared" si="54"/>
        <v/>
      </c>
      <c r="DE35" s="157" t="str">
        <f t="shared" si="55"/>
        <v/>
      </c>
      <c r="DF35" s="157" t="str">
        <f t="shared" si="56"/>
        <v/>
      </c>
      <c r="DG35" s="157" t="str">
        <f t="shared" si="57"/>
        <v/>
      </c>
      <c r="DH35" s="157" t="str">
        <f t="shared" si="58"/>
        <v/>
      </c>
      <c r="DI35" s="157" t="str">
        <f t="shared" si="59"/>
        <v/>
      </c>
      <c r="DJ35" s="157" t="str">
        <f t="shared" si="60"/>
        <v/>
      </c>
      <c r="DK35" s="157" t="str">
        <f t="shared" si="61"/>
        <v/>
      </c>
      <c r="DL35" s="157" t="str">
        <f t="shared" si="62"/>
        <v/>
      </c>
      <c r="DM35" s="157" t="str">
        <f t="shared" si="63"/>
        <v/>
      </c>
      <c r="DN35" s="33">
        <v>11</v>
      </c>
      <c r="DO35" s="1466" t="str">
        <f t="shared" si="226"/>
        <v/>
      </c>
      <c r="DP35" s="1014" t="str">
        <f t="shared" si="64"/>
        <v/>
      </c>
      <c r="DQ35" s="1026" t="str">
        <f t="shared" si="227"/>
        <v/>
      </c>
      <c r="DR35" s="1026" t="str">
        <f t="shared" si="228"/>
        <v/>
      </c>
      <c r="DS35" s="93" t="str">
        <f t="shared" si="65"/>
        <v/>
      </c>
      <c r="DT35" s="213" t="str">
        <f t="shared" si="66"/>
        <v/>
      </c>
      <c r="DU35" s="144" t="str">
        <f t="shared" si="67"/>
        <v/>
      </c>
      <c r="DV35" s="144" t="str">
        <f t="shared" si="68"/>
        <v/>
      </c>
      <c r="DW35" s="144" t="str">
        <f t="shared" si="69"/>
        <v/>
      </c>
      <c r="DX35" s="144" t="str">
        <f t="shared" si="70"/>
        <v/>
      </c>
      <c r="DY35" s="144" t="str">
        <f t="shared" si="71"/>
        <v/>
      </c>
      <c r="DZ35" s="144" t="str">
        <f t="shared" si="72"/>
        <v/>
      </c>
      <c r="EA35" s="144" t="str">
        <f t="shared" si="73"/>
        <v/>
      </c>
      <c r="EB35" s="144" t="str">
        <f t="shared" si="74"/>
        <v/>
      </c>
      <c r="EC35" s="144" t="str">
        <f t="shared" si="75"/>
        <v/>
      </c>
      <c r="ED35" s="144" t="str">
        <f t="shared" si="76"/>
        <v/>
      </c>
      <c r="EE35" s="144" t="str">
        <f t="shared" si="77"/>
        <v/>
      </c>
      <c r="EF35" s="144" t="str">
        <f t="shared" si="78"/>
        <v/>
      </c>
      <c r="EG35" s="144" t="str">
        <f t="shared" si="79"/>
        <v/>
      </c>
      <c r="EH35" s="144" t="str">
        <f t="shared" si="80"/>
        <v/>
      </c>
      <c r="EI35" s="144" t="str">
        <f t="shared" si="81"/>
        <v/>
      </c>
      <c r="EJ35" s="144" t="str">
        <f t="shared" si="82"/>
        <v/>
      </c>
      <c r="EK35" s="144" t="str">
        <f t="shared" si="83"/>
        <v/>
      </c>
      <c r="EL35" s="144" t="str">
        <f t="shared" si="84"/>
        <v/>
      </c>
      <c r="EM35" s="144" t="str">
        <f t="shared" si="85"/>
        <v/>
      </c>
      <c r="EN35" s="719" t="str">
        <f t="shared" si="86"/>
        <v/>
      </c>
      <c r="EO35" s="719" t="str">
        <f t="shared" si="87"/>
        <v/>
      </c>
      <c r="EP35" s="719" t="str">
        <f t="shared" si="88"/>
        <v/>
      </c>
      <c r="EQ35" s="719" t="str">
        <f t="shared" si="89"/>
        <v/>
      </c>
      <c r="ER35" s="719" t="str">
        <f t="shared" si="90"/>
        <v/>
      </c>
      <c r="EU35" s="33">
        <v>11</v>
      </c>
      <c r="EV35" s="735" t="str">
        <f t="shared" si="91"/>
        <v>Crítico</v>
      </c>
      <c r="EW35" s="741">
        <f t="shared" si="92"/>
        <v>1</v>
      </c>
      <c r="EX35" s="121" t="str">
        <f t="shared" si="93"/>
        <v>Crítico</v>
      </c>
      <c r="EY35" s="124">
        <f t="shared" si="229"/>
        <v>1</v>
      </c>
      <c r="EZ35" s="121" t="str">
        <f t="shared" si="94"/>
        <v>Crítico</v>
      </c>
      <c r="FA35" s="122">
        <f t="shared" si="95"/>
        <v>1</v>
      </c>
      <c r="FB35" s="18">
        <f t="shared" si="96"/>
        <v>0</v>
      </c>
      <c r="FC35" s="254" t="str">
        <f t="shared" si="97"/>
        <v/>
      </c>
      <c r="FD35" s="76" t="str">
        <f t="shared" si="230"/>
        <v/>
      </c>
      <c r="FE35" s="18">
        <f t="shared" si="231"/>
        <v>0</v>
      </c>
      <c r="FF35" s="703">
        <f t="shared" si="98"/>
        <v>0</v>
      </c>
      <c r="FG35" s="702">
        <f t="shared" si="99"/>
        <v>0</v>
      </c>
      <c r="FH35" s="19">
        <f t="shared" si="232"/>
        <v>0</v>
      </c>
      <c r="FI35" s="238" t="str">
        <f t="shared" si="233"/>
        <v/>
      </c>
      <c r="FJ35" s="701" t="str">
        <f t="shared" si="100"/>
        <v/>
      </c>
      <c r="FK35" s="66">
        <f t="shared" si="101"/>
        <v>0</v>
      </c>
      <c r="FL35" s="701" t="str">
        <f t="shared" si="102"/>
        <v/>
      </c>
      <c r="FM35" s="146" t="str">
        <f t="shared" si="103"/>
        <v/>
      </c>
      <c r="FN35" s="701" t="str">
        <f t="shared" si="104"/>
        <v/>
      </c>
      <c r="FO35" s="66">
        <f t="shared" si="105"/>
        <v>0</v>
      </c>
      <c r="FP35" s="701" t="str">
        <f t="shared" si="106"/>
        <v/>
      </c>
      <c r="FQ35" s="146" t="str">
        <f t="shared" si="107"/>
        <v/>
      </c>
      <c r="FR35" s="701" t="str">
        <f t="shared" si="108"/>
        <v/>
      </c>
      <c r="FS35" s="66">
        <f t="shared" si="109"/>
        <v>0</v>
      </c>
      <c r="FT35" s="701" t="str">
        <f t="shared" si="110"/>
        <v/>
      </c>
      <c r="FU35" s="146" t="str">
        <f t="shared" si="111"/>
        <v/>
      </c>
      <c r="FV35" s="701" t="str">
        <f t="shared" si="112"/>
        <v/>
      </c>
      <c r="FW35" s="66">
        <f t="shared" si="113"/>
        <v>0</v>
      </c>
      <c r="FX35" s="701" t="str">
        <f t="shared" si="114"/>
        <v/>
      </c>
      <c r="FY35" s="146" t="str">
        <f t="shared" si="115"/>
        <v/>
      </c>
      <c r="FZ35" s="701" t="str">
        <f t="shared" si="116"/>
        <v/>
      </c>
      <c r="GA35" s="66">
        <f t="shared" si="117"/>
        <v>0</v>
      </c>
      <c r="GB35" s="701" t="str">
        <f t="shared" si="118"/>
        <v/>
      </c>
      <c r="GC35" s="146" t="str">
        <f t="shared" si="119"/>
        <v/>
      </c>
      <c r="GD35" s="701" t="str">
        <f t="shared" si="120"/>
        <v/>
      </c>
      <c r="GE35" s="66">
        <f t="shared" si="121"/>
        <v>0</v>
      </c>
      <c r="GF35" s="701" t="str">
        <f t="shared" si="122"/>
        <v/>
      </c>
      <c r="GG35" s="146" t="str">
        <f t="shared" si="123"/>
        <v/>
      </c>
      <c r="GH35" s="701" t="str">
        <f t="shared" si="124"/>
        <v/>
      </c>
      <c r="GI35" s="66">
        <f t="shared" si="125"/>
        <v>0</v>
      </c>
      <c r="GJ35" s="701" t="str">
        <f t="shared" si="126"/>
        <v/>
      </c>
      <c r="GK35" s="146" t="str">
        <f t="shared" si="127"/>
        <v/>
      </c>
      <c r="GL35" s="701" t="str">
        <f t="shared" si="128"/>
        <v/>
      </c>
      <c r="GM35" s="66">
        <f t="shared" si="129"/>
        <v>0</v>
      </c>
      <c r="GN35" s="701" t="str">
        <f t="shared" si="130"/>
        <v/>
      </c>
      <c r="GO35" s="146" t="str">
        <f t="shared" si="131"/>
        <v/>
      </c>
      <c r="GP35" s="701" t="str">
        <f t="shared" si="132"/>
        <v/>
      </c>
      <c r="GQ35" s="66">
        <f t="shared" si="133"/>
        <v>0</v>
      </c>
      <c r="GR35" s="701" t="str">
        <f t="shared" si="134"/>
        <v/>
      </c>
      <c r="GS35" s="146" t="str">
        <f t="shared" si="135"/>
        <v/>
      </c>
      <c r="GT35" s="701" t="str">
        <f t="shared" si="136"/>
        <v/>
      </c>
      <c r="GU35" s="66">
        <f t="shared" si="137"/>
        <v>0</v>
      </c>
      <c r="GV35" s="701" t="str">
        <f t="shared" si="138"/>
        <v/>
      </c>
      <c r="GW35" s="146" t="str">
        <f t="shared" si="139"/>
        <v/>
      </c>
      <c r="GX35" s="701" t="str">
        <f t="shared" si="140"/>
        <v/>
      </c>
      <c r="GY35" s="66">
        <f t="shared" si="141"/>
        <v>0</v>
      </c>
      <c r="GZ35" s="701" t="str">
        <f t="shared" si="142"/>
        <v/>
      </c>
      <c r="HA35" s="146" t="str">
        <f t="shared" si="143"/>
        <v/>
      </c>
      <c r="HB35" s="701" t="str">
        <f t="shared" si="144"/>
        <v/>
      </c>
      <c r="HC35" s="66">
        <f t="shared" si="145"/>
        <v>0</v>
      </c>
      <c r="HD35" s="701" t="str">
        <f t="shared" si="146"/>
        <v/>
      </c>
      <c r="HE35" s="146" t="str">
        <f t="shared" si="147"/>
        <v/>
      </c>
      <c r="HF35" s="701" t="str">
        <f t="shared" si="148"/>
        <v/>
      </c>
      <c r="HG35" s="66">
        <f t="shared" si="149"/>
        <v>0</v>
      </c>
      <c r="HH35" s="701" t="str">
        <f t="shared" si="150"/>
        <v/>
      </c>
      <c r="HI35" s="146" t="str">
        <f t="shared" si="151"/>
        <v/>
      </c>
      <c r="HJ35" s="701" t="str">
        <f t="shared" si="152"/>
        <v/>
      </c>
      <c r="HK35" s="66">
        <f t="shared" si="153"/>
        <v>0</v>
      </c>
      <c r="HL35" s="701" t="str">
        <f t="shared" si="154"/>
        <v/>
      </c>
      <c r="HM35" s="146" t="str">
        <f t="shared" si="155"/>
        <v/>
      </c>
      <c r="HN35" s="701" t="str">
        <f t="shared" si="156"/>
        <v/>
      </c>
      <c r="HO35" s="66">
        <f t="shared" si="157"/>
        <v>0</v>
      </c>
      <c r="HP35" s="701" t="str">
        <f t="shared" si="158"/>
        <v/>
      </c>
      <c r="HQ35" s="146" t="str">
        <f t="shared" si="159"/>
        <v/>
      </c>
      <c r="HR35" s="701" t="str">
        <f t="shared" si="160"/>
        <v/>
      </c>
      <c r="HS35" s="66">
        <f t="shared" si="161"/>
        <v>0</v>
      </c>
      <c r="HT35" s="701" t="str">
        <f t="shared" si="162"/>
        <v/>
      </c>
      <c r="HU35" s="146" t="str">
        <f t="shared" si="163"/>
        <v/>
      </c>
      <c r="HV35" s="701" t="str">
        <f t="shared" si="164"/>
        <v/>
      </c>
      <c r="HW35" s="66">
        <f t="shared" si="165"/>
        <v>0</v>
      </c>
      <c r="HX35" s="701" t="str">
        <f t="shared" si="166"/>
        <v/>
      </c>
      <c r="HY35" s="146" t="str">
        <f t="shared" si="167"/>
        <v/>
      </c>
      <c r="HZ35" s="701" t="str">
        <f t="shared" si="168"/>
        <v/>
      </c>
      <c r="IA35" s="66">
        <f t="shared" si="169"/>
        <v>0</v>
      </c>
      <c r="IB35" s="701" t="str">
        <f t="shared" si="170"/>
        <v/>
      </c>
      <c r="IC35" s="146" t="str">
        <f t="shared" si="171"/>
        <v/>
      </c>
      <c r="ID35" s="701" t="str">
        <f t="shared" si="172"/>
        <v/>
      </c>
      <c r="IE35" s="66">
        <f t="shared" si="173"/>
        <v>0</v>
      </c>
      <c r="IF35" s="701" t="str">
        <f t="shared" si="174"/>
        <v/>
      </c>
      <c r="IG35" s="146" t="str">
        <f t="shared" si="175"/>
        <v/>
      </c>
      <c r="IH35" s="701" t="str">
        <f t="shared" si="176"/>
        <v/>
      </c>
      <c r="II35" s="66">
        <f t="shared" si="177"/>
        <v>0</v>
      </c>
      <c r="IJ35" s="701" t="str">
        <f t="shared" si="178"/>
        <v/>
      </c>
      <c r="IK35" s="146" t="str">
        <f t="shared" si="179"/>
        <v/>
      </c>
      <c r="IL35" s="701" t="str">
        <f t="shared" si="180"/>
        <v/>
      </c>
      <c r="IM35" s="66">
        <f t="shared" si="181"/>
        <v>0</v>
      </c>
      <c r="IN35" s="701" t="str">
        <f t="shared" si="182"/>
        <v/>
      </c>
      <c r="IO35" s="146" t="str">
        <f t="shared" si="183"/>
        <v/>
      </c>
      <c r="IP35" s="701" t="str">
        <f t="shared" si="184"/>
        <v/>
      </c>
      <c r="IQ35" s="66">
        <f t="shared" si="185"/>
        <v>0</v>
      </c>
      <c r="IR35" s="701" t="str">
        <f t="shared" si="186"/>
        <v/>
      </c>
      <c r="IS35" s="146" t="str">
        <f t="shared" si="187"/>
        <v/>
      </c>
      <c r="IT35" s="701" t="str">
        <f t="shared" si="188"/>
        <v/>
      </c>
      <c r="IU35" s="66">
        <f t="shared" si="189"/>
        <v>0</v>
      </c>
      <c r="IV35" s="701" t="str">
        <f t="shared" si="190"/>
        <v/>
      </c>
      <c r="IW35" s="146" t="str">
        <f t="shared" si="191"/>
        <v/>
      </c>
      <c r="IX35" s="701" t="str">
        <f t="shared" si="192"/>
        <v/>
      </c>
      <c r="IY35" s="66">
        <f t="shared" si="193"/>
        <v>0</v>
      </c>
    </row>
    <row r="36" spans="1:259" s="3" customFormat="1" ht="18" customHeight="1" thickTop="1" thickBot="1" x14ac:dyDescent="0.35">
      <c r="A36" s="1468" t="str">
        <f t="shared" si="194"/>
        <v/>
      </c>
      <c r="B36" s="780" t="str">
        <f t="shared" si="6"/>
        <v/>
      </c>
      <c r="D36" s="525" t="str">
        <f t="shared" si="234"/>
        <v/>
      </c>
      <c r="E36" s="522" t="str">
        <f>IF(DO65="","",SUM($DO$54:DO65))</f>
        <v/>
      </c>
      <c r="F36" s="1232"/>
      <c r="G36" s="1233"/>
      <c r="H36" s="1234"/>
      <c r="I36" s="1228"/>
      <c r="J36" s="1235"/>
      <c r="K36" s="1230"/>
      <c r="L36" s="1270" t="str">
        <f>IF('Quadro 2'!G24="","",'Quadro 2'!G24)</f>
        <v/>
      </c>
      <c r="M36" s="1270" t="str">
        <f t="shared" si="195"/>
        <v/>
      </c>
      <c r="N36" s="1459" t="str">
        <f t="shared" si="196"/>
        <v/>
      </c>
      <c r="O36" s="1480" t="str">
        <f t="shared" si="197"/>
        <v/>
      </c>
      <c r="P36" s="1271" t="str">
        <f t="shared" si="198"/>
        <v/>
      </c>
      <c r="Q36" s="1489" t="str">
        <f t="shared" si="199"/>
        <v/>
      </c>
      <c r="R36" s="1426" t="str">
        <f t="shared" si="7"/>
        <v/>
      </c>
      <c r="S36" s="848" t="str">
        <f t="shared" si="8"/>
        <v/>
      </c>
      <c r="T36" s="58" t="str">
        <f t="shared" si="9"/>
        <v/>
      </c>
      <c r="U36" s="1133"/>
      <c r="V36" s="143" t="str">
        <f t="shared" si="200"/>
        <v/>
      </c>
      <c r="W36" s="849" t="str">
        <f>IF(OR(H36="",V36="",V36=0),"",IF($V36&gt;'Quadro 1'!$G$23,'Quadro 1'!$G$23,IF($V36&lt;'Quadro 1'!$G$10,'Quadro 1'!$G$10,MIN($X36,$Y36))))</f>
        <v/>
      </c>
      <c r="X36" s="850" t="str">
        <f>IF($V36&lt;='Quadro 1'!$G$10,'Quadro 1'!$G$10,IF($V36&lt;='Quadro 1'!$G$11,'Quadro 1'!$G$11,IF($V36&lt;='Quadro 1'!$G$12,'Quadro 1'!$G$12,IF($V36&lt;='Quadro 1'!$G$13,'Quadro 1'!$G$13,IF($V36&lt;='Quadro 1'!$G$14,'Quadro 1'!$G$14,IF($V36&lt;='Quadro 1'!$G$15,'Quadro 1'!$G$15,IF($V36&lt;='Quadro 1'!$G$16,'Quadro 1'!$G$16,"")))))))</f>
        <v/>
      </c>
      <c r="Y36" s="851" t="str">
        <f>IF(OR(V36="",V36=0),"",IF($V36&lt;='Quadro 1'!$G$17,'Quadro 1'!$G$17,IF($V36&lt;='Quadro 1'!$G$18,'Quadro 1'!$G$18,IF($V36&lt;='Quadro 1'!$G$19,'Quadro 1'!$G$19,IF($V36&lt;='Quadro 1'!$G$20,'Quadro 1'!$G$20,IF($V36&lt;='Quadro 1'!$G$21,'Quadro 1'!$G$21,IF($V36&lt;='Quadro 1'!$G$22,'Quadro 1'!$G$22,IF($V36&lt;='Quadro 1'!$G$23,'Quadro 1'!$G$23,'Quadro 1'!$G$23))))))))</f>
        <v/>
      </c>
      <c r="Z36" s="852" t="str">
        <f>IF(W36="","",LOOKUP(W36,'Quadro 1'!$G$9:$G$23,'Quadro 1'!$H$9:$H$23))</f>
        <v/>
      </c>
      <c r="AA36" s="1417" t="str">
        <f>IF(W36="","",LOOKUP(W36,'Quadro 1'!$G$9:$G$23,'Quadro 1'!$D$9:$D$23))</f>
        <v/>
      </c>
      <c r="AB36" s="853" t="str">
        <f>IF(W36="","",LOOKUP(W36,'Quadro 1'!$G$9:$G$23,'Quadro 1'!$E$9:$E$23))</f>
        <v/>
      </c>
      <c r="AC36" s="1272" t="str">
        <f t="shared" si="201"/>
        <v/>
      </c>
      <c r="AD36" s="1274" t="str">
        <f t="shared" si="240"/>
        <v/>
      </c>
      <c r="AE36" s="1392" t="str">
        <f t="shared" si="202"/>
        <v/>
      </c>
      <c r="AF36" s="1395" t="str">
        <f t="shared" si="203"/>
        <v/>
      </c>
      <c r="AG36" s="1396" t="str">
        <f t="shared" si="204"/>
        <v/>
      </c>
      <c r="AH36" s="1398" t="str">
        <f t="shared" si="11"/>
        <v/>
      </c>
      <c r="AI36" s="1490" t="str">
        <f t="shared" si="235"/>
        <v/>
      </c>
      <c r="AJ36" s="1502" t="str">
        <f t="shared" si="239"/>
        <v/>
      </c>
      <c r="AK36" s="1503"/>
      <c r="AL36" s="1503"/>
      <c r="AM36" s="1504"/>
      <c r="AN36" s="1275" t="str">
        <f t="shared" si="12"/>
        <v/>
      </c>
      <c r="AO36" s="1502" t="str">
        <f t="shared" si="13"/>
        <v/>
      </c>
      <c r="AP36" s="1507"/>
      <c r="AQ36" s="1504"/>
      <c r="AR36" s="847"/>
      <c r="AS36" s="1258">
        <f t="shared" si="206"/>
        <v>0</v>
      </c>
      <c r="AT36" s="1256">
        <f t="shared" si="207"/>
        <v>0</v>
      </c>
      <c r="AU36" s="1381">
        <f t="shared" si="208"/>
        <v>1</v>
      </c>
      <c r="AV36" s="157" t="str">
        <f t="shared" si="14"/>
        <v/>
      </c>
      <c r="AW36" s="87" t="str">
        <f t="shared" si="236"/>
        <v/>
      </c>
      <c r="AX36" s="87" t="str">
        <f t="shared" si="15"/>
        <v/>
      </c>
      <c r="AY36" s="1341" t="str">
        <f t="shared" si="209"/>
        <v/>
      </c>
      <c r="AZ36" s="701">
        <f t="shared" si="210"/>
        <v>1</v>
      </c>
      <c r="BA36" s="1338" t="str">
        <f t="shared" si="211"/>
        <v/>
      </c>
      <c r="BB36" s="1335" t="str">
        <f t="shared" si="212"/>
        <v/>
      </c>
      <c r="BC36" s="86" t="str">
        <f t="shared" si="213"/>
        <v/>
      </c>
      <c r="BD36" s="701">
        <f t="shared" si="214"/>
        <v>1</v>
      </c>
      <c r="BE36" s="1273" t="str">
        <f t="shared" si="215"/>
        <v/>
      </c>
      <c r="BF36" s="86" t="str">
        <f t="shared" si="16"/>
        <v/>
      </c>
      <c r="BG36" s="57" t="str">
        <f t="shared" si="17"/>
        <v/>
      </c>
      <c r="BH36" s="1329">
        <f t="shared" si="216"/>
        <v>0</v>
      </c>
      <c r="BI36" s="88">
        <f t="shared" si="217"/>
        <v>0</v>
      </c>
      <c r="BJ36" s="88" t="str">
        <f t="shared" si="18"/>
        <v/>
      </c>
      <c r="BK36" s="88" t="str">
        <f t="shared" si="19"/>
        <v/>
      </c>
      <c r="BL36" s="88" t="str">
        <f t="shared" si="20"/>
        <v/>
      </c>
      <c r="BM36" s="88" t="str">
        <f t="shared" si="21"/>
        <v/>
      </c>
      <c r="BN36" s="88" t="str">
        <f t="shared" si="22"/>
        <v/>
      </c>
      <c r="BO36" s="88" t="str">
        <f t="shared" si="23"/>
        <v/>
      </c>
      <c r="BP36" s="88" t="str">
        <f t="shared" si="24"/>
        <v/>
      </c>
      <c r="BQ36" s="88" t="str">
        <f t="shared" si="25"/>
        <v/>
      </c>
      <c r="BR36" s="88" t="str">
        <f t="shared" si="26"/>
        <v/>
      </c>
      <c r="BS36" s="88" t="str">
        <f t="shared" si="27"/>
        <v/>
      </c>
      <c r="BT36" s="88" t="str">
        <f t="shared" si="28"/>
        <v/>
      </c>
      <c r="BU36" s="88" t="str">
        <f t="shared" si="29"/>
        <v/>
      </c>
      <c r="BV36" s="88" t="str">
        <f t="shared" si="30"/>
        <v/>
      </c>
      <c r="BW36" s="88" t="str">
        <f t="shared" si="31"/>
        <v/>
      </c>
      <c r="BX36" s="88" t="str">
        <f t="shared" si="32"/>
        <v/>
      </c>
      <c r="BY36" s="88" t="str">
        <f t="shared" si="33"/>
        <v/>
      </c>
      <c r="BZ36" s="88" t="str">
        <f t="shared" si="34"/>
        <v/>
      </c>
      <c r="CA36" s="88" t="str">
        <f t="shared" si="35"/>
        <v/>
      </c>
      <c r="CB36" s="88" t="str">
        <f t="shared" si="36"/>
        <v/>
      </c>
      <c r="CC36" s="88" t="str">
        <f t="shared" si="37"/>
        <v/>
      </c>
      <c r="CD36" s="88" t="str">
        <f t="shared" si="38"/>
        <v/>
      </c>
      <c r="CE36" s="88" t="str">
        <f t="shared" si="39"/>
        <v/>
      </c>
      <c r="CF36" s="88" t="str">
        <f t="shared" si="40"/>
        <v/>
      </c>
      <c r="CG36" s="88" t="str">
        <f t="shared" si="41"/>
        <v/>
      </c>
      <c r="CH36" s="88" t="str">
        <f t="shared" si="42"/>
        <v/>
      </c>
      <c r="CI36" s="790" t="str">
        <f t="shared" si="43"/>
        <v>0</v>
      </c>
      <c r="CJ36" s="791">
        <f t="shared" si="44"/>
        <v>0</v>
      </c>
      <c r="CK36" s="784" t="str">
        <f t="shared" si="45"/>
        <v>NA</v>
      </c>
      <c r="CL36" s="784" t="str">
        <f t="shared" si="46"/>
        <v/>
      </c>
      <c r="CM36" s="784" t="str">
        <f t="shared" si="218"/>
        <v/>
      </c>
      <c r="CN36" s="790" t="str">
        <f t="shared" si="47"/>
        <v/>
      </c>
      <c r="CO36" s="790" t="str">
        <f t="shared" si="48"/>
        <v/>
      </c>
      <c r="CP36" s="784" t="str">
        <f t="shared" si="49"/>
        <v/>
      </c>
      <c r="CQ36" s="790" t="str">
        <f t="shared" si="50"/>
        <v/>
      </c>
      <c r="CR36" s="524">
        <f t="shared" si="51"/>
        <v>0</v>
      </c>
      <c r="CS36" s="257" t="str">
        <f t="shared" si="219"/>
        <v/>
      </c>
      <c r="CT36" s="496">
        <f t="shared" si="238"/>
        <v>155.1</v>
      </c>
      <c r="CU36" s="496">
        <f t="shared" si="237"/>
        <v>155.1</v>
      </c>
      <c r="CV36" s="496">
        <f t="shared" si="220"/>
        <v>155.1</v>
      </c>
      <c r="CW36" s="495" t="str">
        <f t="shared" si="52"/>
        <v/>
      </c>
      <c r="CX36" s="496" t="str">
        <f t="shared" si="53"/>
        <v/>
      </c>
      <c r="CY36" s="496" t="str">
        <f t="shared" si="221"/>
        <v/>
      </c>
      <c r="CZ36" s="1456">
        <f t="shared" si="222"/>
        <v>1</v>
      </c>
      <c r="DA36" s="157" t="str">
        <f t="shared" si="223"/>
        <v/>
      </c>
      <c r="DB36" s="213" t="str">
        <f t="shared" si="224"/>
        <v/>
      </c>
      <c r="DC36" s="213" t="str">
        <f t="shared" si="225"/>
        <v/>
      </c>
      <c r="DD36" s="157" t="str">
        <f t="shared" si="54"/>
        <v/>
      </c>
      <c r="DE36" s="157" t="str">
        <f t="shared" si="55"/>
        <v/>
      </c>
      <c r="DF36" s="157" t="str">
        <f t="shared" si="56"/>
        <v/>
      </c>
      <c r="DG36" s="157" t="str">
        <f t="shared" si="57"/>
        <v/>
      </c>
      <c r="DH36" s="157" t="str">
        <f t="shared" si="58"/>
        <v/>
      </c>
      <c r="DI36" s="157" t="str">
        <f t="shared" si="59"/>
        <v/>
      </c>
      <c r="DJ36" s="157" t="str">
        <f t="shared" si="60"/>
        <v/>
      </c>
      <c r="DK36" s="157" t="str">
        <f t="shared" si="61"/>
        <v/>
      </c>
      <c r="DL36" s="157" t="str">
        <f t="shared" si="62"/>
        <v/>
      </c>
      <c r="DM36" s="157" t="str">
        <f t="shared" si="63"/>
        <v/>
      </c>
      <c r="DN36" s="33">
        <v>12</v>
      </c>
      <c r="DO36" s="1466" t="str">
        <f t="shared" si="226"/>
        <v/>
      </c>
      <c r="DP36" s="1014" t="str">
        <f t="shared" si="64"/>
        <v/>
      </c>
      <c r="DQ36" s="1026" t="str">
        <f t="shared" si="227"/>
        <v/>
      </c>
      <c r="DR36" s="1026" t="str">
        <f t="shared" si="228"/>
        <v/>
      </c>
      <c r="DS36" s="93" t="str">
        <f t="shared" si="65"/>
        <v/>
      </c>
      <c r="DT36" s="213" t="str">
        <f t="shared" si="66"/>
        <v/>
      </c>
      <c r="DU36" s="144" t="str">
        <f t="shared" si="67"/>
        <v/>
      </c>
      <c r="DV36" s="144" t="str">
        <f t="shared" si="68"/>
        <v/>
      </c>
      <c r="DW36" s="144" t="str">
        <f t="shared" si="69"/>
        <v/>
      </c>
      <c r="DX36" s="144" t="str">
        <f t="shared" si="70"/>
        <v/>
      </c>
      <c r="DY36" s="144" t="str">
        <f t="shared" si="71"/>
        <v/>
      </c>
      <c r="DZ36" s="144" t="str">
        <f t="shared" si="72"/>
        <v/>
      </c>
      <c r="EA36" s="144" t="str">
        <f t="shared" si="73"/>
        <v/>
      </c>
      <c r="EB36" s="144" t="str">
        <f t="shared" si="74"/>
        <v/>
      </c>
      <c r="EC36" s="144" t="str">
        <f t="shared" si="75"/>
        <v/>
      </c>
      <c r="ED36" s="144" t="str">
        <f t="shared" si="76"/>
        <v/>
      </c>
      <c r="EE36" s="144" t="str">
        <f t="shared" si="77"/>
        <v/>
      </c>
      <c r="EF36" s="144" t="str">
        <f t="shared" si="78"/>
        <v/>
      </c>
      <c r="EG36" s="144" t="str">
        <f t="shared" si="79"/>
        <v/>
      </c>
      <c r="EH36" s="144" t="str">
        <f t="shared" si="80"/>
        <v/>
      </c>
      <c r="EI36" s="144" t="str">
        <f t="shared" si="81"/>
        <v/>
      </c>
      <c r="EJ36" s="144" t="str">
        <f t="shared" si="82"/>
        <v/>
      </c>
      <c r="EK36" s="144" t="str">
        <f t="shared" si="83"/>
        <v/>
      </c>
      <c r="EL36" s="144" t="str">
        <f t="shared" si="84"/>
        <v/>
      </c>
      <c r="EM36" s="144" t="str">
        <f t="shared" si="85"/>
        <v/>
      </c>
      <c r="EN36" s="719" t="str">
        <f t="shared" si="86"/>
        <v/>
      </c>
      <c r="EO36" s="719" t="str">
        <f t="shared" si="87"/>
        <v/>
      </c>
      <c r="EP36" s="719" t="str">
        <f t="shared" si="88"/>
        <v/>
      </c>
      <c r="EQ36" s="719" t="str">
        <f t="shared" si="89"/>
        <v/>
      </c>
      <c r="ER36" s="719" t="str">
        <f t="shared" si="90"/>
        <v/>
      </c>
      <c r="EU36" s="33">
        <v>12</v>
      </c>
      <c r="EV36" s="735" t="str">
        <f t="shared" si="91"/>
        <v>Crítico</v>
      </c>
      <c r="EW36" s="741">
        <f t="shared" si="92"/>
        <v>1</v>
      </c>
      <c r="EX36" s="121" t="str">
        <f t="shared" si="93"/>
        <v>Crítico</v>
      </c>
      <c r="EY36" s="124">
        <f t="shared" si="229"/>
        <v>1</v>
      </c>
      <c r="EZ36" s="121" t="str">
        <f t="shared" si="94"/>
        <v>Crítico</v>
      </c>
      <c r="FA36" s="122">
        <f t="shared" si="95"/>
        <v>1</v>
      </c>
      <c r="FB36" s="18">
        <f t="shared" si="96"/>
        <v>0</v>
      </c>
      <c r="FC36" s="254" t="str">
        <f t="shared" si="97"/>
        <v/>
      </c>
      <c r="FD36" s="76" t="str">
        <f t="shared" si="230"/>
        <v/>
      </c>
      <c r="FE36" s="18">
        <f t="shared" si="231"/>
        <v>0</v>
      </c>
      <c r="FF36" s="703">
        <f t="shared" si="98"/>
        <v>0</v>
      </c>
      <c r="FG36" s="702">
        <f t="shared" si="99"/>
        <v>0</v>
      </c>
      <c r="FH36" s="19">
        <f t="shared" si="232"/>
        <v>0</v>
      </c>
      <c r="FI36" s="238" t="str">
        <f t="shared" si="233"/>
        <v/>
      </c>
      <c r="FJ36" s="701" t="str">
        <f t="shared" si="100"/>
        <v/>
      </c>
      <c r="FK36" s="66">
        <f t="shared" si="101"/>
        <v>0</v>
      </c>
      <c r="FL36" s="701" t="str">
        <f t="shared" si="102"/>
        <v/>
      </c>
      <c r="FM36" s="146" t="str">
        <f t="shared" si="103"/>
        <v/>
      </c>
      <c r="FN36" s="701" t="str">
        <f t="shared" si="104"/>
        <v/>
      </c>
      <c r="FO36" s="66">
        <f t="shared" si="105"/>
        <v>0</v>
      </c>
      <c r="FP36" s="701" t="str">
        <f t="shared" si="106"/>
        <v/>
      </c>
      <c r="FQ36" s="146" t="str">
        <f t="shared" si="107"/>
        <v/>
      </c>
      <c r="FR36" s="701" t="str">
        <f t="shared" si="108"/>
        <v/>
      </c>
      <c r="FS36" s="66">
        <f t="shared" si="109"/>
        <v>0</v>
      </c>
      <c r="FT36" s="701" t="str">
        <f t="shared" si="110"/>
        <v/>
      </c>
      <c r="FU36" s="146" t="str">
        <f t="shared" si="111"/>
        <v/>
      </c>
      <c r="FV36" s="701" t="str">
        <f t="shared" si="112"/>
        <v/>
      </c>
      <c r="FW36" s="66">
        <f t="shared" si="113"/>
        <v>0</v>
      </c>
      <c r="FX36" s="701" t="str">
        <f t="shared" si="114"/>
        <v/>
      </c>
      <c r="FY36" s="146" t="str">
        <f t="shared" si="115"/>
        <v/>
      </c>
      <c r="FZ36" s="701" t="str">
        <f t="shared" si="116"/>
        <v/>
      </c>
      <c r="GA36" s="66">
        <f t="shared" si="117"/>
        <v>0</v>
      </c>
      <c r="GB36" s="701" t="str">
        <f t="shared" si="118"/>
        <v/>
      </c>
      <c r="GC36" s="146" t="str">
        <f t="shared" si="119"/>
        <v/>
      </c>
      <c r="GD36" s="701" t="str">
        <f t="shared" si="120"/>
        <v/>
      </c>
      <c r="GE36" s="66">
        <f t="shared" si="121"/>
        <v>0</v>
      </c>
      <c r="GF36" s="701" t="str">
        <f t="shared" si="122"/>
        <v/>
      </c>
      <c r="GG36" s="146" t="str">
        <f t="shared" si="123"/>
        <v/>
      </c>
      <c r="GH36" s="701" t="str">
        <f t="shared" si="124"/>
        <v/>
      </c>
      <c r="GI36" s="66">
        <f t="shared" si="125"/>
        <v>0</v>
      </c>
      <c r="GJ36" s="701" t="str">
        <f t="shared" si="126"/>
        <v/>
      </c>
      <c r="GK36" s="146" t="str">
        <f t="shared" si="127"/>
        <v/>
      </c>
      <c r="GL36" s="701" t="str">
        <f t="shared" si="128"/>
        <v/>
      </c>
      <c r="GM36" s="66">
        <f t="shared" si="129"/>
        <v>0</v>
      </c>
      <c r="GN36" s="701" t="str">
        <f t="shared" si="130"/>
        <v/>
      </c>
      <c r="GO36" s="146" t="str">
        <f t="shared" si="131"/>
        <v/>
      </c>
      <c r="GP36" s="701" t="str">
        <f t="shared" si="132"/>
        <v/>
      </c>
      <c r="GQ36" s="66">
        <f t="shared" si="133"/>
        <v>0</v>
      </c>
      <c r="GR36" s="701" t="str">
        <f t="shared" si="134"/>
        <v/>
      </c>
      <c r="GS36" s="146" t="str">
        <f t="shared" si="135"/>
        <v/>
      </c>
      <c r="GT36" s="701" t="str">
        <f t="shared" si="136"/>
        <v/>
      </c>
      <c r="GU36" s="66">
        <f t="shared" si="137"/>
        <v>0</v>
      </c>
      <c r="GV36" s="701" t="str">
        <f t="shared" si="138"/>
        <v/>
      </c>
      <c r="GW36" s="146" t="str">
        <f t="shared" si="139"/>
        <v/>
      </c>
      <c r="GX36" s="701" t="str">
        <f t="shared" si="140"/>
        <v/>
      </c>
      <c r="GY36" s="66">
        <f t="shared" si="141"/>
        <v>0</v>
      </c>
      <c r="GZ36" s="701" t="str">
        <f t="shared" si="142"/>
        <v/>
      </c>
      <c r="HA36" s="146" t="str">
        <f t="shared" si="143"/>
        <v/>
      </c>
      <c r="HB36" s="701" t="str">
        <f t="shared" si="144"/>
        <v/>
      </c>
      <c r="HC36" s="66">
        <f t="shared" si="145"/>
        <v>0</v>
      </c>
      <c r="HD36" s="701" t="str">
        <f t="shared" si="146"/>
        <v/>
      </c>
      <c r="HE36" s="146" t="str">
        <f t="shared" si="147"/>
        <v/>
      </c>
      <c r="HF36" s="701" t="str">
        <f t="shared" si="148"/>
        <v/>
      </c>
      <c r="HG36" s="66">
        <f t="shared" si="149"/>
        <v>0</v>
      </c>
      <c r="HH36" s="701" t="str">
        <f t="shared" si="150"/>
        <v/>
      </c>
      <c r="HI36" s="146" t="str">
        <f t="shared" si="151"/>
        <v/>
      </c>
      <c r="HJ36" s="701" t="str">
        <f t="shared" si="152"/>
        <v/>
      </c>
      <c r="HK36" s="66">
        <f t="shared" si="153"/>
        <v>0</v>
      </c>
      <c r="HL36" s="701" t="str">
        <f t="shared" si="154"/>
        <v/>
      </c>
      <c r="HM36" s="146" t="str">
        <f t="shared" si="155"/>
        <v/>
      </c>
      <c r="HN36" s="701" t="str">
        <f t="shared" si="156"/>
        <v/>
      </c>
      <c r="HO36" s="66">
        <f t="shared" si="157"/>
        <v>0</v>
      </c>
      <c r="HP36" s="701" t="str">
        <f t="shared" si="158"/>
        <v/>
      </c>
      <c r="HQ36" s="146" t="str">
        <f t="shared" si="159"/>
        <v/>
      </c>
      <c r="HR36" s="701" t="str">
        <f t="shared" si="160"/>
        <v/>
      </c>
      <c r="HS36" s="66">
        <f t="shared" si="161"/>
        <v>0</v>
      </c>
      <c r="HT36" s="701" t="str">
        <f t="shared" si="162"/>
        <v/>
      </c>
      <c r="HU36" s="146" t="str">
        <f t="shared" si="163"/>
        <v/>
      </c>
      <c r="HV36" s="701" t="str">
        <f t="shared" si="164"/>
        <v/>
      </c>
      <c r="HW36" s="66">
        <f t="shared" si="165"/>
        <v>0</v>
      </c>
      <c r="HX36" s="701" t="str">
        <f t="shared" si="166"/>
        <v/>
      </c>
      <c r="HY36" s="146" t="str">
        <f t="shared" si="167"/>
        <v/>
      </c>
      <c r="HZ36" s="701" t="str">
        <f t="shared" si="168"/>
        <v/>
      </c>
      <c r="IA36" s="66">
        <f t="shared" si="169"/>
        <v>0</v>
      </c>
      <c r="IB36" s="701" t="str">
        <f t="shared" si="170"/>
        <v/>
      </c>
      <c r="IC36" s="146" t="str">
        <f t="shared" si="171"/>
        <v/>
      </c>
      <c r="ID36" s="701" t="str">
        <f t="shared" si="172"/>
        <v/>
      </c>
      <c r="IE36" s="66">
        <f t="shared" si="173"/>
        <v>0</v>
      </c>
      <c r="IF36" s="701" t="str">
        <f t="shared" si="174"/>
        <v/>
      </c>
      <c r="IG36" s="146" t="str">
        <f t="shared" si="175"/>
        <v/>
      </c>
      <c r="IH36" s="701" t="str">
        <f t="shared" si="176"/>
        <v/>
      </c>
      <c r="II36" s="66">
        <f t="shared" si="177"/>
        <v>0</v>
      </c>
      <c r="IJ36" s="701" t="str">
        <f t="shared" si="178"/>
        <v/>
      </c>
      <c r="IK36" s="146" t="str">
        <f t="shared" si="179"/>
        <v/>
      </c>
      <c r="IL36" s="701" t="str">
        <f t="shared" si="180"/>
        <v/>
      </c>
      <c r="IM36" s="66">
        <f t="shared" si="181"/>
        <v>0</v>
      </c>
      <c r="IN36" s="701" t="str">
        <f t="shared" si="182"/>
        <v/>
      </c>
      <c r="IO36" s="146" t="str">
        <f t="shared" si="183"/>
        <v/>
      </c>
      <c r="IP36" s="701" t="str">
        <f t="shared" si="184"/>
        <v/>
      </c>
      <c r="IQ36" s="66">
        <f t="shared" si="185"/>
        <v>0</v>
      </c>
      <c r="IR36" s="701" t="str">
        <f t="shared" si="186"/>
        <v/>
      </c>
      <c r="IS36" s="146" t="str">
        <f t="shared" si="187"/>
        <v/>
      </c>
      <c r="IT36" s="701" t="str">
        <f t="shared" si="188"/>
        <v/>
      </c>
      <c r="IU36" s="66">
        <f t="shared" si="189"/>
        <v>0</v>
      </c>
      <c r="IV36" s="701" t="str">
        <f t="shared" si="190"/>
        <v/>
      </c>
      <c r="IW36" s="146" t="str">
        <f t="shared" si="191"/>
        <v/>
      </c>
      <c r="IX36" s="701" t="str">
        <f t="shared" si="192"/>
        <v/>
      </c>
      <c r="IY36" s="66">
        <f t="shared" si="193"/>
        <v>0</v>
      </c>
    </row>
    <row r="37" spans="1:259" s="3" customFormat="1" ht="18" customHeight="1" thickTop="1" thickBot="1" x14ac:dyDescent="0.35">
      <c r="A37" s="1468" t="str">
        <f t="shared" si="194"/>
        <v/>
      </c>
      <c r="B37" s="780" t="str">
        <f t="shared" si="6"/>
        <v/>
      </c>
      <c r="D37" s="525" t="str">
        <f>IF(AND(H37&lt;=$AU$7,OR(LEN(F37)&gt;1,LEN(G37)&gt;1),OR(LEFT(F37,1)="s",LEFT(G37,1)="s"),OR(RIGHT(G37,1)="0",RIGHT(G37,1)="1",RIGHT(G37,1)="2",RIGHT(G37,1)="3",RIGHT(G37,1)="4",RIGHT(G37,1)="5",RIGHT(G37,1)="6",RIGHT(G37,1)="7",RIGHT(G37,1)="8",RIGHT(G37,1)="9",RIGHT(F37,1)="0",RIGHT(F37,1)="1",RIGHT(F37,1)="2",RIGHT(F37,1)="3",RIGHT(F37,1)="4",RIGHT(F37,1)="5",RIGHT(F37,1)="6",RIGHT(F37,1)="7",RIGHT(F37,1)="8",RIGHT(F37,1)="9")),"s","")</f>
        <v/>
      </c>
      <c r="E37" s="522" t="str">
        <f>IF(DO66="","",SUM($DO$54:DO66))</f>
        <v/>
      </c>
      <c r="F37" s="1232"/>
      <c r="G37" s="1233"/>
      <c r="H37" s="1234"/>
      <c r="I37" s="1228"/>
      <c r="J37" s="1235"/>
      <c r="K37" s="1230"/>
      <c r="L37" s="1270" t="str">
        <f>IF('Quadro 2'!G25="","",'Quadro 2'!G25)</f>
        <v/>
      </c>
      <c r="M37" s="1270" t="str">
        <f t="shared" si="195"/>
        <v/>
      </c>
      <c r="N37" s="1459" t="str">
        <f t="shared" si="196"/>
        <v/>
      </c>
      <c r="O37" s="1480" t="str">
        <f t="shared" si="197"/>
        <v/>
      </c>
      <c r="P37" s="1271" t="str">
        <f t="shared" si="198"/>
        <v/>
      </c>
      <c r="Q37" s="1489" t="str">
        <f t="shared" si="199"/>
        <v/>
      </c>
      <c r="R37" s="1426" t="str">
        <f t="shared" si="7"/>
        <v/>
      </c>
      <c r="S37" s="848" t="str">
        <f t="shared" si="8"/>
        <v/>
      </c>
      <c r="T37" s="58" t="str">
        <f t="shared" si="9"/>
        <v/>
      </c>
      <c r="U37" s="1133"/>
      <c r="V37" s="143" t="str">
        <f t="shared" si="200"/>
        <v/>
      </c>
      <c r="W37" s="849" t="str">
        <f>IF(OR(H37="",V37="",V37=0),"",IF($V37&gt;'Quadro 1'!$G$23,'Quadro 1'!$G$23,IF($V37&lt;'Quadro 1'!$G$10,'Quadro 1'!$G$10,MIN($X37,$Y37))))</f>
        <v/>
      </c>
      <c r="X37" s="850" t="str">
        <f>IF($V37&lt;='Quadro 1'!$G$10,'Quadro 1'!$G$10,IF($V37&lt;='Quadro 1'!$G$11,'Quadro 1'!$G$11,IF($V37&lt;='Quadro 1'!$G$12,'Quadro 1'!$G$12,IF($V37&lt;='Quadro 1'!$G$13,'Quadro 1'!$G$13,IF($V37&lt;='Quadro 1'!$G$14,'Quadro 1'!$G$14,IF($V37&lt;='Quadro 1'!$G$15,'Quadro 1'!$G$15,IF($V37&lt;='Quadro 1'!$G$16,'Quadro 1'!$G$16,"")))))))</f>
        <v/>
      </c>
      <c r="Y37" s="851" t="str">
        <f>IF(OR(V37="",V37=0),"",IF($V37&lt;='Quadro 1'!$G$17,'Quadro 1'!$G$17,IF($V37&lt;='Quadro 1'!$G$18,'Quadro 1'!$G$18,IF($V37&lt;='Quadro 1'!$G$19,'Quadro 1'!$G$19,IF($V37&lt;='Quadro 1'!$G$20,'Quadro 1'!$G$20,IF($V37&lt;='Quadro 1'!$G$21,'Quadro 1'!$G$21,IF($V37&lt;='Quadro 1'!$G$22,'Quadro 1'!$G$22,IF($V37&lt;='Quadro 1'!$G$23,'Quadro 1'!$G$23,'Quadro 1'!$G$23))))))))</f>
        <v/>
      </c>
      <c r="Z37" s="852" t="str">
        <f>IF(W37="","",LOOKUP(W37,'Quadro 1'!$G$9:$G$23,'Quadro 1'!$H$9:$H$23))</f>
        <v/>
      </c>
      <c r="AA37" s="1417" t="str">
        <f>IF(W37="","",LOOKUP(W37,'Quadro 1'!$G$9:$G$23,'Quadro 1'!$D$9:$D$23))</f>
        <v/>
      </c>
      <c r="AB37" s="853" t="str">
        <f>IF(W37="","",LOOKUP(W37,'Quadro 1'!$G$9:$G$23,'Quadro 1'!$E$9:$E$23))</f>
        <v/>
      </c>
      <c r="AC37" s="1272" t="str">
        <f t="shared" si="201"/>
        <v/>
      </c>
      <c r="AD37" s="1274" t="str">
        <f t="shared" si="240"/>
        <v/>
      </c>
      <c r="AE37" s="1392" t="str">
        <f t="shared" si="202"/>
        <v/>
      </c>
      <c r="AF37" s="1395" t="str">
        <f t="shared" si="203"/>
        <v/>
      </c>
      <c r="AG37" s="1396" t="str">
        <f t="shared" si="204"/>
        <v/>
      </c>
      <c r="AH37" s="1398" t="str">
        <f t="shared" si="11"/>
        <v/>
      </c>
      <c r="AI37" s="1490" t="str">
        <f t="shared" si="235"/>
        <v/>
      </c>
      <c r="AJ37" s="1502" t="str">
        <f t="shared" si="239"/>
        <v/>
      </c>
      <c r="AK37" s="1503"/>
      <c r="AL37" s="1503"/>
      <c r="AM37" s="1504"/>
      <c r="AN37" s="1275" t="str">
        <f t="shared" si="12"/>
        <v/>
      </c>
      <c r="AO37" s="1502" t="str">
        <f t="shared" si="13"/>
        <v/>
      </c>
      <c r="AP37" s="1507"/>
      <c r="AQ37" s="1504"/>
      <c r="AR37" s="847"/>
      <c r="AS37" s="1258">
        <f t="shared" si="206"/>
        <v>0</v>
      </c>
      <c r="AT37" s="1256">
        <f t="shared" si="207"/>
        <v>0</v>
      </c>
      <c r="AU37" s="1381">
        <f>IF(AT142="",AU142,IF(OR(AT142&lt;&gt;0,AT142&lt;&gt;1),AT142,AU142))</f>
        <v>1</v>
      </c>
      <c r="AV37" s="157" t="str">
        <f t="shared" si="14"/>
        <v/>
      </c>
      <c r="AW37" s="87" t="str">
        <f t="shared" si="236"/>
        <v/>
      </c>
      <c r="AX37" s="87" t="str">
        <f t="shared" si="15"/>
        <v/>
      </c>
      <c r="AY37" s="1341" t="str">
        <f t="shared" si="209"/>
        <v/>
      </c>
      <c r="AZ37" s="701">
        <f t="shared" si="210"/>
        <v>1</v>
      </c>
      <c r="BA37" s="1338" t="str">
        <f t="shared" si="211"/>
        <v/>
      </c>
      <c r="BB37" s="1335" t="str">
        <f t="shared" si="212"/>
        <v/>
      </c>
      <c r="BC37" s="86" t="str">
        <f t="shared" si="213"/>
        <v/>
      </c>
      <c r="BD37" s="701">
        <f t="shared" si="214"/>
        <v>1</v>
      </c>
      <c r="BE37" s="1273" t="str">
        <f t="shared" si="215"/>
        <v/>
      </c>
      <c r="BF37" s="86" t="str">
        <f t="shared" si="16"/>
        <v/>
      </c>
      <c r="BG37" s="57" t="str">
        <f t="shared" si="17"/>
        <v/>
      </c>
      <c r="BH37" s="1329">
        <f t="shared" si="216"/>
        <v>0</v>
      </c>
      <c r="BI37" s="88">
        <f t="shared" si="217"/>
        <v>0</v>
      </c>
      <c r="BJ37" s="88" t="str">
        <f t="shared" si="18"/>
        <v/>
      </c>
      <c r="BK37" s="88" t="str">
        <f t="shared" si="19"/>
        <v/>
      </c>
      <c r="BL37" s="88" t="str">
        <f t="shared" si="20"/>
        <v/>
      </c>
      <c r="BM37" s="88" t="str">
        <f t="shared" si="21"/>
        <v/>
      </c>
      <c r="BN37" s="88" t="str">
        <f t="shared" si="22"/>
        <v/>
      </c>
      <c r="BO37" s="88" t="str">
        <f t="shared" si="23"/>
        <v/>
      </c>
      <c r="BP37" s="88" t="str">
        <f t="shared" si="24"/>
        <v/>
      </c>
      <c r="BQ37" s="88" t="str">
        <f t="shared" si="25"/>
        <v/>
      </c>
      <c r="BR37" s="88" t="str">
        <f t="shared" si="26"/>
        <v/>
      </c>
      <c r="BS37" s="88" t="str">
        <f t="shared" si="27"/>
        <v/>
      </c>
      <c r="BT37" s="88" t="str">
        <f t="shared" si="28"/>
        <v/>
      </c>
      <c r="BU37" s="88" t="str">
        <f t="shared" si="29"/>
        <v/>
      </c>
      <c r="BV37" s="88" t="str">
        <f t="shared" si="30"/>
        <v/>
      </c>
      <c r="BW37" s="88" t="str">
        <f t="shared" si="31"/>
        <v/>
      </c>
      <c r="BX37" s="88" t="str">
        <f t="shared" si="32"/>
        <v/>
      </c>
      <c r="BY37" s="88" t="str">
        <f t="shared" si="33"/>
        <v/>
      </c>
      <c r="BZ37" s="88" t="str">
        <f t="shared" si="34"/>
        <v/>
      </c>
      <c r="CA37" s="88" t="str">
        <f t="shared" si="35"/>
        <v/>
      </c>
      <c r="CB37" s="88" t="str">
        <f t="shared" si="36"/>
        <v/>
      </c>
      <c r="CC37" s="88" t="str">
        <f t="shared" si="37"/>
        <v/>
      </c>
      <c r="CD37" s="88" t="str">
        <f t="shared" si="38"/>
        <v/>
      </c>
      <c r="CE37" s="88" t="str">
        <f t="shared" si="39"/>
        <v/>
      </c>
      <c r="CF37" s="88" t="str">
        <f t="shared" si="40"/>
        <v/>
      </c>
      <c r="CG37" s="88" t="str">
        <f t="shared" si="41"/>
        <v/>
      </c>
      <c r="CH37" s="88" t="str">
        <f t="shared" si="42"/>
        <v/>
      </c>
      <c r="CI37" s="790" t="str">
        <f t="shared" si="43"/>
        <v>0</v>
      </c>
      <c r="CJ37" s="791">
        <f t="shared" si="44"/>
        <v>0</v>
      </c>
      <c r="CK37" s="784" t="str">
        <f t="shared" si="45"/>
        <v>NA</v>
      </c>
      <c r="CL37" s="784" t="str">
        <f t="shared" si="46"/>
        <v/>
      </c>
      <c r="CM37" s="784" t="str">
        <f t="shared" si="218"/>
        <v/>
      </c>
      <c r="CN37" s="790" t="str">
        <f t="shared" si="47"/>
        <v/>
      </c>
      <c r="CO37" s="790" t="str">
        <f t="shared" si="48"/>
        <v/>
      </c>
      <c r="CP37" s="784" t="str">
        <f t="shared" si="49"/>
        <v/>
      </c>
      <c r="CQ37" s="790" t="str">
        <f t="shared" si="50"/>
        <v/>
      </c>
      <c r="CR37" s="524">
        <f t="shared" si="51"/>
        <v>0</v>
      </c>
      <c r="CS37" s="257" t="str">
        <f t="shared" si="219"/>
        <v/>
      </c>
      <c r="CT37" s="496">
        <f t="shared" si="238"/>
        <v>155.1</v>
      </c>
      <c r="CU37" s="496">
        <f t="shared" si="237"/>
        <v>155.1</v>
      </c>
      <c r="CV37" s="496">
        <f t="shared" si="220"/>
        <v>155.1</v>
      </c>
      <c r="CW37" s="495" t="str">
        <f t="shared" si="52"/>
        <v/>
      </c>
      <c r="CX37" s="496" t="str">
        <f t="shared" si="53"/>
        <v/>
      </c>
      <c r="CY37" s="496" t="str">
        <f t="shared" si="221"/>
        <v/>
      </c>
      <c r="CZ37" s="1456">
        <f t="shared" si="222"/>
        <v>1</v>
      </c>
      <c r="DA37" s="157" t="str">
        <f t="shared" si="223"/>
        <v/>
      </c>
      <c r="DB37" s="213" t="str">
        <f t="shared" si="224"/>
        <v/>
      </c>
      <c r="DC37" s="213" t="str">
        <f t="shared" si="225"/>
        <v/>
      </c>
      <c r="DD37" s="157" t="str">
        <f t="shared" si="54"/>
        <v/>
      </c>
      <c r="DE37" s="157" t="str">
        <f t="shared" si="55"/>
        <v/>
      </c>
      <c r="DF37" s="157" t="str">
        <f t="shared" si="56"/>
        <v/>
      </c>
      <c r="DG37" s="157" t="str">
        <f t="shared" si="57"/>
        <v/>
      </c>
      <c r="DH37" s="157" t="str">
        <f t="shared" si="58"/>
        <v/>
      </c>
      <c r="DI37" s="157" t="str">
        <f t="shared" si="59"/>
        <v/>
      </c>
      <c r="DJ37" s="157" t="str">
        <f t="shared" si="60"/>
        <v/>
      </c>
      <c r="DK37" s="157" t="str">
        <f t="shared" si="61"/>
        <v/>
      </c>
      <c r="DL37" s="157" t="str">
        <f t="shared" si="62"/>
        <v/>
      </c>
      <c r="DM37" s="157" t="str">
        <f t="shared" si="63"/>
        <v/>
      </c>
      <c r="DN37" s="33">
        <v>13</v>
      </c>
      <c r="DO37" s="1466" t="str">
        <f t="shared" si="226"/>
        <v/>
      </c>
      <c r="DP37" s="1014" t="str">
        <f t="shared" si="64"/>
        <v/>
      </c>
      <c r="DQ37" s="1026" t="str">
        <f t="shared" si="227"/>
        <v/>
      </c>
      <c r="DR37" s="1026" t="str">
        <f t="shared" si="228"/>
        <v/>
      </c>
      <c r="DS37" s="93" t="str">
        <f t="shared" si="65"/>
        <v/>
      </c>
      <c r="DT37" s="213" t="str">
        <f t="shared" si="66"/>
        <v/>
      </c>
      <c r="DU37" s="144" t="str">
        <f t="shared" si="67"/>
        <v/>
      </c>
      <c r="DV37" s="144" t="str">
        <f t="shared" si="68"/>
        <v/>
      </c>
      <c r="DW37" s="144" t="str">
        <f t="shared" si="69"/>
        <v/>
      </c>
      <c r="DX37" s="144" t="str">
        <f t="shared" si="70"/>
        <v/>
      </c>
      <c r="DY37" s="144" t="str">
        <f t="shared" si="71"/>
        <v/>
      </c>
      <c r="DZ37" s="144" t="str">
        <f t="shared" si="72"/>
        <v/>
      </c>
      <c r="EA37" s="144" t="str">
        <f t="shared" si="73"/>
        <v/>
      </c>
      <c r="EB37" s="144" t="str">
        <f t="shared" si="74"/>
        <v/>
      </c>
      <c r="EC37" s="144" t="str">
        <f t="shared" si="75"/>
        <v/>
      </c>
      <c r="ED37" s="144" t="str">
        <f t="shared" si="76"/>
        <v/>
      </c>
      <c r="EE37" s="144" t="str">
        <f t="shared" si="77"/>
        <v/>
      </c>
      <c r="EF37" s="144" t="str">
        <f t="shared" si="78"/>
        <v/>
      </c>
      <c r="EG37" s="144" t="str">
        <f t="shared" si="79"/>
        <v/>
      </c>
      <c r="EH37" s="144" t="str">
        <f t="shared" si="80"/>
        <v/>
      </c>
      <c r="EI37" s="144" t="str">
        <f t="shared" si="81"/>
        <v/>
      </c>
      <c r="EJ37" s="144" t="str">
        <f t="shared" si="82"/>
        <v/>
      </c>
      <c r="EK37" s="144" t="str">
        <f t="shared" si="83"/>
        <v/>
      </c>
      <c r="EL37" s="144" t="str">
        <f t="shared" si="84"/>
        <v/>
      </c>
      <c r="EM37" s="144" t="str">
        <f t="shared" si="85"/>
        <v/>
      </c>
      <c r="EN37" s="719" t="str">
        <f t="shared" si="86"/>
        <v/>
      </c>
      <c r="EO37" s="719" t="str">
        <f t="shared" si="87"/>
        <v/>
      </c>
      <c r="EP37" s="719" t="str">
        <f t="shared" si="88"/>
        <v/>
      </c>
      <c r="EQ37" s="719" t="str">
        <f t="shared" si="89"/>
        <v/>
      </c>
      <c r="ER37" s="719" t="str">
        <f t="shared" si="90"/>
        <v/>
      </c>
      <c r="EU37" s="33">
        <v>13</v>
      </c>
      <c r="EV37" s="735" t="str">
        <f t="shared" si="91"/>
        <v>Crítico</v>
      </c>
      <c r="EW37" s="741">
        <f t="shared" si="92"/>
        <v>1</v>
      </c>
      <c r="EX37" s="121" t="str">
        <f t="shared" si="93"/>
        <v>Crítico</v>
      </c>
      <c r="EY37" s="124">
        <f t="shared" si="229"/>
        <v>1</v>
      </c>
      <c r="EZ37" s="121" t="str">
        <f t="shared" si="94"/>
        <v>Crítico</v>
      </c>
      <c r="FA37" s="122">
        <f t="shared" si="95"/>
        <v>1</v>
      </c>
      <c r="FB37" s="18">
        <f t="shared" si="96"/>
        <v>0</v>
      </c>
      <c r="FC37" s="254" t="str">
        <f t="shared" si="97"/>
        <v/>
      </c>
      <c r="FD37" s="76" t="str">
        <f t="shared" si="230"/>
        <v/>
      </c>
      <c r="FE37" s="18">
        <f t="shared" si="231"/>
        <v>0</v>
      </c>
      <c r="FF37" s="703">
        <f t="shared" si="98"/>
        <v>0</v>
      </c>
      <c r="FG37" s="702">
        <f t="shared" si="99"/>
        <v>0</v>
      </c>
      <c r="FH37" s="19">
        <f t="shared" si="232"/>
        <v>0</v>
      </c>
      <c r="FI37" s="238" t="str">
        <f t="shared" si="233"/>
        <v/>
      </c>
      <c r="FJ37" s="701" t="str">
        <f t="shared" si="100"/>
        <v/>
      </c>
      <c r="FK37" s="66">
        <f t="shared" si="101"/>
        <v>0</v>
      </c>
      <c r="FL37" s="701" t="str">
        <f t="shared" si="102"/>
        <v/>
      </c>
      <c r="FM37" s="146" t="str">
        <f t="shared" si="103"/>
        <v/>
      </c>
      <c r="FN37" s="701" t="str">
        <f t="shared" si="104"/>
        <v/>
      </c>
      <c r="FO37" s="66">
        <f t="shared" si="105"/>
        <v>0</v>
      </c>
      <c r="FP37" s="701" t="str">
        <f t="shared" si="106"/>
        <v/>
      </c>
      <c r="FQ37" s="146" t="str">
        <f t="shared" si="107"/>
        <v/>
      </c>
      <c r="FR37" s="701" t="str">
        <f t="shared" si="108"/>
        <v/>
      </c>
      <c r="FS37" s="66">
        <f t="shared" si="109"/>
        <v>0</v>
      </c>
      <c r="FT37" s="701" t="str">
        <f t="shared" si="110"/>
        <v/>
      </c>
      <c r="FU37" s="146" t="str">
        <f t="shared" si="111"/>
        <v/>
      </c>
      <c r="FV37" s="701" t="str">
        <f t="shared" si="112"/>
        <v/>
      </c>
      <c r="FW37" s="66">
        <f t="shared" si="113"/>
        <v>0</v>
      </c>
      <c r="FX37" s="701" t="str">
        <f t="shared" si="114"/>
        <v/>
      </c>
      <c r="FY37" s="146" t="str">
        <f t="shared" si="115"/>
        <v/>
      </c>
      <c r="FZ37" s="701" t="str">
        <f t="shared" si="116"/>
        <v/>
      </c>
      <c r="GA37" s="66">
        <f t="shared" si="117"/>
        <v>0</v>
      </c>
      <c r="GB37" s="701" t="str">
        <f t="shared" si="118"/>
        <v/>
      </c>
      <c r="GC37" s="146" t="str">
        <f t="shared" si="119"/>
        <v/>
      </c>
      <c r="GD37" s="701" t="str">
        <f t="shared" si="120"/>
        <v/>
      </c>
      <c r="GE37" s="66">
        <f t="shared" si="121"/>
        <v>0</v>
      </c>
      <c r="GF37" s="701" t="str">
        <f t="shared" si="122"/>
        <v/>
      </c>
      <c r="GG37" s="146" t="str">
        <f t="shared" si="123"/>
        <v/>
      </c>
      <c r="GH37" s="701" t="str">
        <f t="shared" si="124"/>
        <v/>
      </c>
      <c r="GI37" s="66">
        <f t="shared" si="125"/>
        <v>0</v>
      </c>
      <c r="GJ37" s="701" t="str">
        <f t="shared" si="126"/>
        <v/>
      </c>
      <c r="GK37" s="146" t="str">
        <f t="shared" si="127"/>
        <v/>
      </c>
      <c r="GL37" s="701" t="str">
        <f t="shared" si="128"/>
        <v/>
      </c>
      <c r="GM37" s="66">
        <f t="shared" si="129"/>
        <v>0</v>
      </c>
      <c r="GN37" s="701" t="str">
        <f t="shared" si="130"/>
        <v/>
      </c>
      <c r="GO37" s="146" t="str">
        <f t="shared" si="131"/>
        <v/>
      </c>
      <c r="GP37" s="701" t="str">
        <f t="shared" si="132"/>
        <v/>
      </c>
      <c r="GQ37" s="66">
        <f t="shared" si="133"/>
        <v>0</v>
      </c>
      <c r="GR37" s="701" t="str">
        <f t="shared" si="134"/>
        <v/>
      </c>
      <c r="GS37" s="146" t="str">
        <f t="shared" si="135"/>
        <v/>
      </c>
      <c r="GT37" s="701" t="str">
        <f t="shared" si="136"/>
        <v/>
      </c>
      <c r="GU37" s="66">
        <f t="shared" si="137"/>
        <v>0</v>
      </c>
      <c r="GV37" s="701" t="str">
        <f t="shared" si="138"/>
        <v/>
      </c>
      <c r="GW37" s="146" t="str">
        <f t="shared" si="139"/>
        <v/>
      </c>
      <c r="GX37" s="701" t="str">
        <f t="shared" si="140"/>
        <v/>
      </c>
      <c r="GY37" s="66">
        <f t="shared" si="141"/>
        <v>0</v>
      </c>
      <c r="GZ37" s="701" t="str">
        <f t="shared" si="142"/>
        <v/>
      </c>
      <c r="HA37" s="146" t="str">
        <f t="shared" si="143"/>
        <v/>
      </c>
      <c r="HB37" s="701" t="str">
        <f t="shared" si="144"/>
        <v/>
      </c>
      <c r="HC37" s="66">
        <f t="shared" si="145"/>
        <v>0</v>
      </c>
      <c r="HD37" s="701" t="str">
        <f t="shared" si="146"/>
        <v/>
      </c>
      <c r="HE37" s="146" t="str">
        <f t="shared" si="147"/>
        <v/>
      </c>
      <c r="HF37" s="701" t="str">
        <f t="shared" si="148"/>
        <v/>
      </c>
      <c r="HG37" s="66">
        <f t="shared" si="149"/>
        <v>0</v>
      </c>
      <c r="HH37" s="701" t="str">
        <f t="shared" si="150"/>
        <v/>
      </c>
      <c r="HI37" s="146" t="str">
        <f t="shared" si="151"/>
        <v/>
      </c>
      <c r="HJ37" s="701" t="str">
        <f t="shared" si="152"/>
        <v/>
      </c>
      <c r="HK37" s="66">
        <f t="shared" si="153"/>
        <v>0</v>
      </c>
      <c r="HL37" s="701" t="str">
        <f t="shared" si="154"/>
        <v/>
      </c>
      <c r="HM37" s="146" t="str">
        <f t="shared" si="155"/>
        <v/>
      </c>
      <c r="HN37" s="701" t="str">
        <f t="shared" si="156"/>
        <v/>
      </c>
      <c r="HO37" s="66">
        <f t="shared" si="157"/>
        <v>0</v>
      </c>
      <c r="HP37" s="701" t="str">
        <f t="shared" si="158"/>
        <v/>
      </c>
      <c r="HQ37" s="146" t="str">
        <f t="shared" si="159"/>
        <v/>
      </c>
      <c r="HR37" s="701" t="str">
        <f t="shared" si="160"/>
        <v/>
      </c>
      <c r="HS37" s="66">
        <f t="shared" si="161"/>
        <v>0</v>
      </c>
      <c r="HT37" s="701" t="str">
        <f t="shared" si="162"/>
        <v/>
      </c>
      <c r="HU37" s="146" t="str">
        <f t="shared" si="163"/>
        <v/>
      </c>
      <c r="HV37" s="701" t="str">
        <f t="shared" si="164"/>
        <v/>
      </c>
      <c r="HW37" s="66">
        <f t="shared" si="165"/>
        <v>0</v>
      </c>
      <c r="HX37" s="701" t="str">
        <f t="shared" si="166"/>
        <v/>
      </c>
      <c r="HY37" s="146" t="str">
        <f t="shared" si="167"/>
        <v/>
      </c>
      <c r="HZ37" s="701" t="str">
        <f t="shared" si="168"/>
        <v/>
      </c>
      <c r="IA37" s="66">
        <f t="shared" si="169"/>
        <v>0</v>
      </c>
      <c r="IB37" s="701" t="str">
        <f t="shared" si="170"/>
        <v/>
      </c>
      <c r="IC37" s="146" t="str">
        <f t="shared" si="171"/>
        <v/>
      </c>
      <c r="ID37" s="701" t="str">
        <f t="shared" si="172"/>
        <v/>
      </c>
      <c r="IE37" s="66">
        <f t="shared" si="173"/>
        <v>0</v>
      </c>
      <c r="IF37" s="701" t="str">
        <f t="shared" si="174"/>
        <v/>
      </c>
      <c r="IG37" s="146" t="str">
        <f t="shared" si="175"/>
        <v/>
      </c>
      <c r="IH37" s="701" t="str">
        <f t="shared" si="176"/>
        <v/>
      </c>
      <c r="II37" s="66">
        <f t="shared" si="177"/>
        <v>0</v>
      </c>
      <c r="IJ37" s="701" t="str">
        <f t="shared" si="178"/>
        <v/>
      </c>
      <c r="IK37" s="146" t="str">
        <f t="shared" si="179"/>
        <v/>
      </c>
      <c r="IL37" s="701" t="str">
        <f t="shared" si="180"/>
        <v/>
      </c>
      <c r="IM37" s="66">
        <f t="shared" si="181"/>
        <v>0</v>
      </c>
      <c r="IN37" s="701" t="str">
        <f t="shared" si="182"/>
        <v/>
      </c>
      <c r="IO37" s="146" t="str">
        <f t="shared" si="183"/>
        <v/>
      </c>
      <c r="IP37" s="701" t="str">
        <f t="shared" si="184"/>
        <v/>
      </c>
      <c r="IQ37" s="66">
        <f t="shared" si="185"/>
        <v>0</v>
      </c>
      <c r="IR37" s="701" t="str">
        <f t="shared" si="186"/>
        <v/>
      </c>
      <c r="IS37" s="146" t="str">
        <f t="shared" si="187"/>
        <v/>
      </c>
      <c r="IT37" s="701" t="str">
        <f t="shared" si="188"/>
        <v/>
      </c>
      <c r="IU37" s="66">
        <f t="shared" si="189"/>
        <v>0</v>
      </c>
      <c r="IV37" s="701" t="str">
        <f t="shared" si="190"/>
        <v/>
      </c>
      <c r="IW37" s="146" t="str">
        <f t="shared" si="191"/>
        <v/>
      </c>
      <c r="IX37" s="701" t="str">
        <f t="shared" si="192"/>
        <v/>
      </c>
      <c r="IY37" s="66">
        <f t="shared" si="193"/>
        <v>0</v>
      </c>
    </row>
    <row r="38" spans="1:259" s="3" customFormat="1" ht="18" customHeight="1" thickTop="1" thickBot="1" x14ac:dyDescent="0.35">
      <c r="A38" s="1468" t="str">
        <f t="shared" si="194"/>
        <v/>
      </c>
      <c r="B38" s="780" t="str">
        <f t="shared" si="6"/>
        <v/>
      </c>
      <c r="D38" s="525" t="str">
        <f>IF(AND(H38&lt;=$AU$7,OR(LEN(F38)&gt;1,LEN(G38)&gt;1),OR(LEFT(F38,1)="s",LEFT(G38,1)="s"),OR(RIGHT(G38,1)="0",RIGHT(G38,1)="1",RIGHT(G38,1)="2",RIGHT(G38,1)="3",RIGHT(G38,1)="4",RIGHT(G38,1)="5",RIGHT(G38,1)="6",RIGHT(G38,1)="7",RIGHT(G38,1)="8",RIGHT(G38,1)="9",RIGHT(F38,1)="0",RIGHT(F38,1)="1",RIGHT(F38,1)="2",RIGHT(F38,1)="3",RIGHT(F38,1)="4",RIGHT(F38,1)="5",RIGHT(F38,1)="6",RIGHT(F38,1)="7",RIGHT(F38,1)="8",RIGHT(F38,1)="9")),"s","")</f>
        <v/>
      </c>
      <c r="E38" s="522" t="str">
        <f>IF(DO67="","",SUM($DO$54:DO67))</f>
        <v/>
      </c>
      <c r="F38" s="1232"/>
      <c r="G38" s="1233"/>
      <c r="H38" s="1236"/>
      <c r="I38" s="1228"/>
      <c r="J38" s="1235"/>
      <c r="K38" s="1230"/>
      <c r="L38" s="1270" t="str">
        <f>IF('Quadro 2'!G26="","",'Quadro 2'!G26)</f>
        <v/>
      </c>
      <c r="M38" s="1270" t="str">
        <f t="shared" si="195"/>
        <v/>
      </c>
      <c r="N38" s="1459" t="str">
        <f t="shared" si="196"/>
        <v/>
      </c>
      <c r="O38" s="1480" t="str">
        <f t="shared" si="197"/>
        <v/>
      </c>
      <c r="P38" s="1271" t="str">
        <f t="shared" si="198"/>
        <v/>
      </c>
      <c r="Q38" s="1489" t="str">
        <f>IFERROR(IF(OR(F38="",G38="",H38="",H38=0,M38="",$AU$8="",$AU$9="",$DJ$52="",$A$24=0),"",IF(AND(H38=$N$21,D38="s",DO38="c"),$AU$8,IF(AND(D38="s",DO38="c",H38&gt;=$AU$85,H38&lt;=$AU$84,H38&lt;=$AU$7),LOOKUP(H38,$AU$85:$AU$93,$AW$85:$AW$93),IF(AND(D38="s",$AJ$6&lt;&gt;"x",DO38="nc1",$AZ$84&lt;&gt;"",$AZ$84&lt;&gt;0,H38&lt;=$AZ$84),IFERROR(VLOOKUP(H38,$AY$85:$AZ$93,2,FALSE)*CZ38,""),IF(AND(D38="s",OR(DO38="nc",DO38="nc1",DO38="ncsr"),H38&gt;=$AU$85,H38&lt;=$AU$84,H38&lt;=$AU$7),LOOKUP(H38,$AU$85:$AU$93,$AW$85:$AW$93)*CZ38,IF(OR(AND(H38&lt;$AU$7,D38="s"),AND($BF67=1,$AT$116=""),AND($BF67=1,H38&lt;$AU$6)),$B$17*AU38*$P38*SQRT(AD38*(1/$B$18)*(1/100)),O38)))))),"")</f>
        <v/>
      </c>
      <c r="R38" s="1426" t="str">
        <f t="shared" si="7"/>
        <v/>
      </c>
      <c r="S38" s="848" t="str">
        <f t="shared" si="8"/>
        <v/>
      </c>
      <c r="T38" s="58" t="str">
        <f t="shared" si="9"/>
        <v/>
      </c>
      <c r="U38" s="1133"/>
      <c r="V38" s="143" t="str">
        <f t="shared" si="200"/>
        <v/>
      </c>
      <c r="W38" s="849" t="str">
        <f>IF(OR(H38="",V38="",V38=0),"",IF($V38&gt;'Quadro 1'!$G$23,'Quadro 1'!$G$23,IF($V38&lt;'Quadro 1'!$G$10,'Quadro 1'!$G$10,MIN($X38,$Y38))))</f>
        <v/>
      </c>
      <c r="X38" s="850" t="str">
        <f>IF($V38&lt;='Quadro 1'!$G$10,'Quadro 1'!$G$10,IF($V38&lt;='Quadro 1'!$G$11,'Quadro 1'!$G$11,IF($V38&lt;='Quadro 1'!$G$12,'Quadro 1'!$G$12,IF($V38&lt;='Quadro 1'!$G$13,'Quadro 1'!$G$13,IF($V38&lt;='Quadro 1'!$G$14,'Quadro 1'!$G$14,IF($V38&lt;='Quadro 1'!$G$15,'Quadro 1'!$G$15,IF($V38&lt;='Quadro 1'!$G$16,'Quadro 1'!$G$16,"")))))))</f>
        <v/>
      </c>
      <c r="Y38" s="851" t="str">
        <f>IF(OR(V38="",V38=0),"",IF($V38&lt;='Quadro 1'!$G$17,'Quadro 1'!$G$17,IF($V38&lt;='Quadro 1'!$G$18,'Quadro 1'!$G$18,IF($V38&lt;='Quadro 1'!$G$19,'Quadro 1'!$G$19,IF($V38&lt;='Quadro 1'!$G$20,'Quadro 1'!$G$20,IF($V38&lt;='Quadro 1'!$G$21,'Quadro 1'!$G$21,IF($V38&lt;='Quadro 1'!$G$22,'Quadro 1'!$G$22,IF($V38&lt;='Quadro 1'!$G$23,'Quadro 1'!$G$23,'Quadro 1'!$G$23))))))))</f>
        <v/>
      </c>
      <c r="Z38" s="852" t="str">
        <f>IF(W38="","",LOOKUP(W38,'Quadro 1'!$G$9:$G$23,'Quadro 1'!$H$9:$H$23))</f>
        <v/>
      </c>
      <c r="AA38" s="1417" t="str">
        <f>IF(W38="","",LOOKUP(W38,'Quadro 1'!$G$9:$G$23,'Quadro 1'!$D$9:$D$23))</f>
        <v/>
      </c>
      <c r="AB38" s="853" t="str">
        <f>IF(W38="","",LOOKUP(W38,'Quadro 1'!$G$9:$G$23,'Quadro 1'!$E$9:$E$23))</f>
        <v/>
      </c>
      <c r="AC38" s="1272" t="str">
        <f t="shared" si="201"/>
        <v/>
      </c>
      <c r="AD38" s="1274" t="str">
        <f t="shared" si="240"/>
        <v/>
      </c>
      <c r="AE38" s="1392" t="str">
        <f t="shared" si="202"/>
        <v/>
      </c>
      <c r="AF38" s="1395" t="str">
        <f t="shared" si="203"/>
        <v/>
      </c>
      <c r="AG38" s="1396" t="str">
        <f t="shared" si="204"/>
        <v/>
      </c>
      <c r="AH38" s="1398" t="str">
        <f t="shared" si="11"/>
        <v/>
      </c>
      <c r="AI38" s="1490" t="str">
        <f t="shared" si="235"/>
        <v/>
      </c>
      <c r="AJ38" s="1502" t="str">
        <f t="shared" si="239"/>
        <v/>
      </c>
      <c r="AK38" s="1503"/>
      <c r="AL38" s="1503"/>
      <c r="AM38" s="1504"/>
      <c r="AN38" s="1275" t="str">
        <f t="shared" si="12"/>
        <v/>
      </c>
      <c r="AO38" s="1502" t="str">
        <f t="shared" si="13"/>
        <v/>
      </c>
      <c r="AP38" s="1507"/>
      <c r="AQ38" s="1504"/>
      <c r="AR38" s="847"/>
      <c r="AS38" s="1258">
        <f t="shared" si="206"/>
        <v>0</v>
      </c>
      <c r="AT38" s="1256">
        <f t="shared" si="207"/>
        <v>0</v>
      </c>
      <c r="AU38" s="1381">
        <f>IF(AT143="",AU143,IF(OR(AT143&lt;&gt;0,AT143&lt;&gt;1),AT143,AU143))</f>
        <v>1</v>
      </c>
      <c r="AV38" s="157" t="str">
        <f t="shared" si="14"/>
        <v/>
      </c>
      <c r="AW38" s="87" t="str">
        <f t="shared" si="236"/>
        <v/>
      </c>
      <c r="AX38" s="87" t="str">
        <f t="shared" si="15"/>
        <v/>
      </c>
      <c r="AY38" s="1341" t="str">
        <f t="shared" si="209"/>
        <v/>
      </c>
      <c r="AZ38" s="701">
        <f t="shared" si="210"/>
        <v>1</v>
      </c>
      <c r="BA38" s="1338" t="str">
        <f t="shared" si="211"/>
        <v/>
      </c>
      <c r="BB38" s="1335" t="str">
        <f t="shared" si="212"/>
        <v/>
      </c>
      <c r="BC38" s="86" t="str">
        <f t="shared" si="213"/>
        <v/>
      </c>
      <c r="BD38" s="701">
        <f t="shared" si="214"/>
        <v>1</v>
      </c>
      <c r="BE38" s="1273" t="str">
        <f t="shared" si="215"/>
        <v/>
      </c>
      <c r="BF38" s="86" t="str">
        <f t="shared" si="16"/>
        <v/>
      </c>
      <c r="BG38" s="57" t="str">
        <f t="shared" si="17"/>
        <v/>
      </c>
      <c r="BH38" s="1329">
        <f t="shared" si="216"/>
        <v>0</v>
      </c>
      <c r="BI38" s="88">
        <f t="shared" si="217"/>
        <v>0</v>
      </c>
      <c r="BJ38" s="88" t="str">
        <f t="shared" si="18"/>
        <v/>
      </c>
      <c r="BK38" s="88" t="str">
        <f t="shared" si="19"/>
        <v/>
      </c>
      <c r="BL38" s="88" t="str">
        <f t="shared" si="20"/>
        <v/>
      </c>
      <c r="BM38" s="88" t="str">
        <f t="shared" si="21"/>
        <v/>
      </c>
      <c r="BN38" s="88" t="str">
        <f t="shared" si="22"/>
        <v/>
      </c>
      <c r="BO38" s="88" t="str">
        <f t="shared" si="23"/>
        <v/>
      </c>
      <c r="BP38" s="88" t="str">
        <f t="shared" si="24"/>
        <v/>
      </c>
      <c r="BQ38" s="88" t="str">
        <f t="shared" si="25"/>
        <v/>
      </c>
      <c r="BR38" s="88" t="str">
        <f t="shared" si="26"/>
        <v/>
      </c>
      <c r="BS38" s="88" t="str">
        <f t="shared" si="27"/>
        <v/>
      </c>
      <c r="BT38" s="88" t="str">
        <f t="shared" si="28"/>
        <v/>
      </c>
      <c r="BU38" s="88" t="str">
        <f t="shared" si="29"/>
        <v/>
      </c>
      <c r="BV38" s="88" t="str">
        <f t="shared" si="30"/>
        <v/>
      </c>
      <c r="BW38" s="88" t="str">
        <f t="shared" si="31"/>
        <v/>
      </c>
      <c r="BX38" s="88" t="str">
        <f t="shared" si="32"/>
        <v/>
      </c>
      <c r="BY38" s="88" t="str">
        <f t="shared" si="33"/>
        <v/>
      </c>
      <c r="BZ38" s="88" t="str">
        <f t="shared" si="34"/>
        <v/>
      </c>
      <c r="CA38" s="88" t="str">
        <f t="shared" si="35"/>
        <v/>
      </c>
      <c r="CB38" s="88" t="str">
        <f t="shared" si="36"/>
        <v/>
      </c>
      <c r="CC38" s="88" t="str">
        <f t="shared" si="37"/>
        <v/>
      </c>
      <c r="CD38" s="88" t="str">
        <f t="shared" si="38"/>
        <v/>
      </c>
      <c r="CE38" s="88" t="str">
        <f t="shared" si="39"/>
        <v/>
      </c>
      <c r="CF38" s="88" t="str">
        <f t="shared" si="40"/>
        <v/>
      </c>
      <c r="CG38" s="88" t="str">
        <f t="shared" si="41"/>
        <v/>
      </c>
      <c r="CH38" s="88" t="str">
        <f t="shared" si="42"/>
        <v/>
      </c>
      <c r="CI38" s="790" t="str">
        <f t="shared" si="43"/>
        <v>0</v>
      </c>
      <c r="CJ38" s="791">
        <f t="shared" si="44"/>
        <v>0</v>
      </c>
      <c r="CK38" s="784" t="str">
        <f t="shared" si="45"/>
        <v>NA</v>
      </c>
      <c r="CL38" s="784" t="str">
        <f t="shared" si="46"/>
        <v/>
      </c>
      <c r="CM38" s="784" t="str">
        <f t="shared" si="218"/>
        <v/>
      </c>
      <c r="CN38" s="790" t="str">
        <f t="shared" si="47"/>
        <v/>
      </c>
      <c r="CO38" s="790" t="str">
        <f t="shared" si="48"/>
        <v/>
      </c>
      <c r="CP38" s="784" t="str">
        <f t="shared" si="49"/>
        <v/>
      </c>
      <c r="CQ38" s="790" t="str">
        <f t="shared" si="50"/>
        <v/>
      </c>
      <c r="CR38" s="524">
        <f t="shared" si="51"/>
        <v>0</v>
      </c>
      <c r="CS38" s="257" t="str">
        <f t="shared" si="219"/>
        <v/>
      </c>
      <c r="CT38" s="496">
        <f t="shared" si="238"/>
        <v>155.1</v>
      </c>
      <c r="CU38" s="496">
        <f t="shared" si="237"/>
        <v>155.1</v>
      </c>
      <c r="CV38" s="496">
        <f t="shared" si="220"/>
        <v>155.1</v>
      </c>
      <c r="CW38" s="495" t="str">
        <f t="shared" si="52"/>
        <v/>
      </c>
      <c r="CX38" s="496" t="str">
        <f t="shared" si="53"/>
        <v/>
      </c>
      <c r="CY38" s="496" t="str">
        <f t="shared" si="221"/>
        <v/>
      </c>
      <c r="CZ38" s="1456">
        <f>IF(OR(DO38="c",DO38="nc1"),1,IF(DA38="",1,IF(AND(H38&lt;=$AU$7,$EV$53&lt;&gt;"",DA38&lt;&gt;$BI$115,DA38&lt;&gt;$BI$116,DA38&lt;&gt;$BI$117,DA38&lt;&gt;$BI$118,DA38&lt;&gt;$BI$119,DA38&lt;&gt;$BI$120,DA38&lt;&gt;$BI$121,DA38&lt;&gt;$BI$122),LOOKUP(MATCH(DA38,$AT$116:$AT$124,0),$BE$116:$BE$124,$BF$116:$BF$124),IF($BK128="","",$BK128))))</f>
        <v>1</v>
      </c>
      <c r="DA38" s="157" t="str">
        <f t="shared" si="223"/>
        <v/>
      </c>
      <c r="DB38" s="213" t="str">
        <f t="shared" si="224"/>
        <v/>
      </c>
      <c r="DC38" s="213" t="str">
        <f t="shared" si="225"/>
        <v/>
      </c>
      <c r="DD38" s="157" t="str">
        <f t="shared" si="54"/>
        <v/>
      </c>
      <c r="DE38" s="157" t="str">
        <f t="shared" si="55"/>
        <v/>
      </c>
      <c r="DF38" s="157" t="str">
        <f t="shared" si="56"/>
        <v/>
      </c>
      <c r="DG38" s="157" t="str">
        <f t="shared" si="57"/>
        <v/>
      </c>
      <c r="DH38" s="157" t="str">
        <f t="shared" si="58"/>
        <v/>
      </c>
      <c r="DI38" s="157" t="str">
        <f t="shared" si="59"/>
        <v/>
      </c>
      <c r="DJ38" s="157" t="str">
        <f t="shared" si="60"/>
        <v/>
      </c>
      <c r="DK38" s="157" t="str">
        <f t="shared" si="61"/>
        <v/>
      </c>
      <c r="DL38" s="157" t="str">
        <f t="shared" si="62"/>
        <v/>
      </c>
      <c r="DM38" s="157" t="str">
        <f t="shared" si="63"/>
        <v/>
      </c>
      <c r="DN38" s="33">
        <v>14</v>
      </c>
      <c r="DO38" s="1466" t="str">
        <f>IF(OR(DP38="",F38="",G38="",H38="",J38=""),"",IF(OR(DP38&gt;=1,EV38="Crítico"),"c",IF(AND(D38="s",H38&lt;=I38,H38&lt;$AU$7,DA67="srs1"),"nc1",IF(AND(D38="s",H38&lt;=I38,H38&lt;$AU$7,DA67&lt;&gt;"srs1"),"ncsr","nc"))))</f>
        <v/>
      </c>
      <c r="DP38" s="1014" t="str">
        <f t="shared" si="64"/>
        <v/>
      </c>
      <c r="DQ38" s="1026" t="str">
        <f t="shared" si="227"/>
        <v/>
      </c>
      <c r="DR38" s="1026" t="str">
        <f t="shared" si="228"/>
        <v/>
      </c>
      <c r="DS38" s="93" t="str">
        <f t="shared" si="65"/>
        <v/>
      </c>
      <c r="DT38" s="213" t="str">
        <f t="shared" si="66"/>
        <v/>
      </c>
      <c r="DU38" s="144" t="str">
        <f t="shared" si="67"/>
        <v/>
      </c>
      <c r="DV38" s="144" t="str">
        <f t="shared" si="68"/>
        <v/>
      </c>
      <c r="DW38" s="144" t="str">
        <f t="shared" si="69"/>
        <v/>
      </c>
      <c r="DX38" s="144" t="str">
        <f t="shared" si="70"/>
        <v/>
      </c>
      <c r="DY38" s="144" t="str">
        <f t="shared" si="71"/>
        <v/>
      </c>
      <c r="DZ38" s="144" t="str">
        <f t="shared" si="72"/>
        <v/>
      </c>
      <c r="EA38" s="144" t="str">
        <f t="shared" si="73"/>
        <v/>
      </c>
      <c r="EB38" s="144" t="str">
        <f t="shared" si="74"/>
        <v/>
      </c>
      <c r="EC38" s="144" t="str">
        <f t="shared" si="75"/>
        <v/>
      </c>
      <c r="ED38" s="144" t="str">
        <f t="shared" si="76"/>
        <v/>
      </c>
      <c r="EE38" s="144" t="str">
        <f t="shared" si="77"/>
        <v/>
      </c>
      <c r="EF38" s="144" t="str">
        <f t="shared" si="78"/>
        <v/>
      </c>
      <c r="EG38" s="144" t="str">
        <f t="shared" si="79"/>
        <v/>
      </c>
      <c r="EH38" s="144" t="str">
        <f t="shared" si="80"/>
        <v/>
      </c>
      <c r="EI38" s="144" t="str">
        <f t="shared" si="81"/>
        <v/>
      </c>
      <c r="EJ38" s="144" t="str">
        <f t="shared" si="82"/>
        <v/>
      </c>
      <c r="EK38" s="144" t="str">
        <f t="shared" si="83"/>
        <v/>
      </c>
      <c r="EL38" s="144" t="str">
        <f t="shared" si="84"/>
        <v/>
      </c>
      <c r="EM38" s="144" t="str">
        <f t="shared" si="85"/>
        <v/>
      </c>
      <c r="EN38" s="719" t="str">
        <f t="shared" si="86"/>
        <v/>
      </c>
      <c r="EO38" s="719" t="str">
        <f t="shared" si="87"/>
        <v/>
      </c>
      <c r="EP38" s="719" t="str">
        <f t="shared" si="88"/>
        <v/>
      </c>
      <c r="EQ38" s="719" t="str">
        <f t="shared" si="89"/>
        <v/>
      </c>
      <c r="ER38" s="719" t="str">
        <f t="shared" si="90"/>
        <v/>
      </c>
      <c r="EU38" s="33">
        <v>14</v>
      </c>
      <c r="EV38" s="735" t="str">
        <f t="shared" si="91"/>
        <v>Crítico</v>
      </c>
      <c r="EW38" s="741">
        <f t="shared" si="92"/>
        <v>1</v>
      </c>
      <c r="EX38" s="121" t="str">
        <f t="shared" si="93"/>
        <v>Crítico</v>
      </c>
      <c r="EY38" s="124">
        <f t="shared" si="229"/>
        <v>1</v>
      </c>
      <c r="EZ38" s="121" t="str">
        <f t="shared" si="94"/>
        <v>Crítico</v>
      </c>
      <c r="FA38" s="122">
        <f t="shared" si="95"/>
        <v>1</v>
      </c>
      <c r="FB38" s="18">
        <f t="shared" si="96"/>
        <v>0</v>
      </c>
      <c r="FC38" s="254" t="str">
        <f t="shared" si="97"/>
        <v/>
      </c>
      <c r="FD38" s="76" t="str">
        <f t="shared" si="230"/>
        <v/>
      </c>
      <c r="FE38" s="18">
        <f t="shared" si="231"/>
        <v>0</v>
      </c>
      <c r="FF38" s="703">
        <f t="shared" si="98"/>
        <v>0</v>
      </c>
      <c r="FG38" s="702">
        <f t="shared" si="99"/>
        <v>0</v>
      </c>
      <c r="FH38" s="19">
        <f t="shared" si="232"/>
        <v>0</v>
      </c>
      <c r="FI38" s="238" t="str">
        <f t="shared" si="233"/>
        <v/>
      </c>
      <c r="FJ38" s="701" t="str">
        <f t="shared" si="100"/>
        <v/>
      </c>
      <c r="FK38" s="66">
        <f t="shared" si="101"/>
        <v>0</v>
      </c>
      <c r="FL38" s="701" t="str">
        <f t="shared" si="102"/>
        <v/>
      </c>
      <c r="FM38" s="146" t="str">
        <f t="shared" si="103"/>
        <v/>
      </c>
      <c r="FN38" s="701" t="str">
        <f t="shared" si="104"/>
        <v/>
      </c>
      <c r="FO38" s="66">
        <f t="shared" si="105"/>
        <v>0</v>
      </c>
      <c r="FP38" s="701" t="str">
        <f t="shared" si="106"/>
        <v/>
      </c>
      <c r="FQ38" s="146" t="str">
        <f t="shared" si="107"/>
        <v/>
      </c>
      <c r="FR38" s="701" t="str">
        <f t="shared" si="108"/>
        <v/>
      </c>
      <c r="FS38" s="66">
        <f t="shared" si="109"/>
        <v>0</v>
      </c>
      <c r="FT38" s="701" t="str">
        <f t="shared" si="110"/>
        <v/>
      </c>
      <c r="FU38" s="146" t="str">
        <f t="shared" si="111"/>
        <v/>
      </c>
      <c r="FV38" s="701" t="str">
        <f t="shared" si="112"/>
        <v/>
      </c>
      <c r="FW38" s="66">
        <f t="shared" si="113"/>
        <v>0</v>
      </c>
      <c r="FX38" s="701" t="str">
        <f t="shared" si="114"/>
        <v/>
      </c>
      <c r="FY38" s="146" t="str">
        <f t="shared" si="115"/>
        <v/>
      </c>
      <c r="FZ38" s="701" t="str">
        <f t="shared" si="116"/>
        <v/>
      </c>
      <c r="GA38" s="66">
        <f t="shared" si="117"/>
        <v>0</v>
      </c>
      <c r="GB38" s="701" t="str">
        <f t="shared" si="118"/>
        <v/>
      </c>
      <c r="GC38" s="146" t="str">
        <f t="shared" si="119"/>
        <v/>
      </c>
      <c r="GD38" s="701" t="str">
        <f t="shared" si="120"/>
        <v/>
      </c>
      <c r="GE38" s="66">
        <f t="shared" si="121"/>
        <v>0</v>
      </c>
      <c r="GF38" s="701" t="str">
        <f t="shared" si="122"/>
        <v/>
      </c>
      <c r="GG38" s="146" t="str">
        <f t="shared" si="123"/>
        <v/>
      </c>
      <c r="GH38" s="701" t="str">
        <f t="shared" si="124"/>
        <v/>
      </c>
      <c r="GI38" s="66">
        <f t="shared" si="125"/>
        <v>0</v>
      </c>
      <c r="GJ38" s="701" t="str">
        <f t="shared" si="126"/>
        <v/>
      </c>
      <c r="GK38" s="146" t="str">
        <f t="shared" si="127"/>
        <v/>
      </c>
      <c r="GL38" s="701" t="str">
        <f t="shared" si="128"/>
        <v/>
      </c>
      <c r="GM38" s="66">
        <f t="shared" si="129"/>
        <v>0</v>
      </c>
      <c r="GN38" s="701" t="str">
        <f t="shared" si="130"/>
        <v/>
      </c>
      <c r="GO38" s="146" t="str">
        <f t="shared" si="131"/>
        <v/>
      </c>
      <c r="GP38" s="701" t="str">
        <f t="shared" si="132"/>
        <v/>
      </c>
      <c r="GQ38" s="66">
        <f t="shared" si="133"/>
        <v>0</v>
      </c>
      <c r="GR38" s="701" t="str">
        <f t="shared" si="134"/>
        <v/>
      </c>
      <c r="GS38" s="146" t="str">
        <f t="shared" si="135"/>
        <v/>
      </c>
      <c r="GT38" s="701" t="str">
        <f t="shared" si="136"/>
        <v/>
      </c>
      <c r="GU38" s="66">
        <f t="shared" si="137"/>
        <v>0</v>
      </c>
      <c r="GV38" s="701" t="str">
        <f t="shared" si="138"/>
        <v/>
      </c>
      <c r="GW38" s="146" t="str">
        <f t="shared" si="139"/>
        <v/>
      </c>
      <c r="GX38" s="701" t="str">
        <f t="shared" si="140"/>
        <v/>
      </c>
      <c r="GY38" s="66">
        <f t="shared" si="141"/>
        <v>0</v>
      </c>
      <c r="GZ38" s="701" t="str">
        <f t="shared" si="142"/>
        <v/>
      </c>
      <c r="HA38" s="146" t="str">
        <f t="shared" si="143"/>
        <v/>
      </c>
      <c r="HB38" s="701" t="str">
        <f t="shared" si="144"/>
        <v/>
      </c>
      <c r="HC38" s="66">
        <f t="shared" si="145"/>
        <v>0</v>
      </c>
      <c r="HD38" s="701" t="str">
        <f t="shared" si="146"/>
        <v/>
      </c>
      <c r="HE38" s="146" t="str">
        <f t="shared" si="147"/>
        <v/>
      </c>
      <c r="HF38" s="701" t="str">
        <f t="shared" si="148"/>
        <v/>
      </c>
      <c r="HG38" s="66">
        <f t="shared" si="149"/>
        <v>0</v>
      </c>
      <c r="HH38" s="701" t="str">
        <f t="shared" si="150"/>
        <v/>
      </c>
      <c r="HI38" s="146" t="str">
        <f t="shared" si="151"/>
        <v/>
      </c>
      <c r="HJ38" s="701" t="str">
        <f t="shared" si="152"/>
        <v/>
      </c>
      <c r="HK38" s="66">
        <f t="shared" si="153"/>
        <v>0</v>
      </c>
      <c r="HL38" s="701" t="str">
        <f t="shared" si="154"/>
        <v/>
      </c>
      <c r="HM38" s="146" t="str">
        <f t="shared" si="155"/>
        <v/>
      </c>
      <c r="HN38" s="701" t="str">
        <f t="shared" si="156"/>
        <v/>
      </c>
      <c r="HO38" s="66">
        <f t="shared" si="157"/>
        <v>0</v>
      </c>
      <c r="HP38" s="701" t="str">
        <f t="shared" si="158"/>
        <v/>
      </c>
      <c r="HQ38" s="146" t="str">
        <f t="shared" si="159"/>
        <v/>
      </c>
      <c r="HR38" s="701" t="str">
        <f t="shared" si="160"/>
        <v/>
      </c>
      <c r="HS38" s="66">
        <f t="shared" si="161"/>
        <v>0</v>
      </c>
      <c r="HT38" s="701" t="str">
        <f t="shared" si="162"/>
        <v/>
      </c>
      <c r="HU38" s="146" t="str">
        <f t="shared" si="163"/>
        <v/>
      </c>
      <c r="HV38" s="701" t="str">
        <f t="shared" si="164"/>
        <v/>
      </c>
      <c r="HW38" s="66">
        <f t="shared" si="165"/>
        <v>0</v>
      </c>
      <c r="HX38" s="701" t="str">
        <f t="shared" si="166"/>
        <v/>
      </c>
      <c r="HY38" s="146" t="str">
        <f t="shared" si="167"/>
        <v/>
      </c>
      <c r="HZ38" s="701" t="str">
        <f t="shared" si="168"/>
        <v/>
      </c>
      <c r="IA38" s="66">
        <f t="shared" si="169"/>
        <v>0</v>
      </c>
      <c r="IB38" s="701" t="str">
        <f t="shared" si="170"/>
        <v/>
      </c>
      <c r="IC38" s="146" t="str">
        <f t="shared" si="171"/>
        <v/>
      </c>
      <c r="ID38" s="701" t="str">
        <f t="shared" si="172"/>
        <v/>
      </c>
      <c r="IE38" s="66">
        <f t="shared" si="173"/>
        <v>0</v>
      </c>
      <c r="IF38" s="701" t="str">
        <f t="shared" si="174"/>
        <v/>
      </c>
      <c r="IG38" s="146" t="str">
        <f t="shared" si="175"/>
        <v/>
      </c>
      <c r="IH38" s="701" t="str">
        <f t="shared" si="176"/>
        <v/>
      </c>
      <c r="II38" s="66">
        <f t="shared" si="177"/>
        <v>0</v>
      </c>
      <c r="IJ38" s="701" t="str">
        <f t="shared" si="178"/>
        <v/>
      </c>
      <c r="IK38" s="146" t="str">
        <f t="shared" si="179"/>
        <v/>
      </c>
      <c r="IL38" s="701" t="str">
        <f t="shared" si="180"/>
        <v/>
      </c>
      <c r="IM38" s="66">
        <f t="shared" si="181"/>
        <v>0</v>
      </c>
      <c r="IN38" s="701" t="str">
        <f t="shared" si="182"/>
        <v/>
      </c>
      <c r="IO38" s="146" t="str">
        <f t="shared" si="183"/>
        <v/>
      </c>
      <c r="IP38" s="701" t="str">
        <f t="shared" si="184"/>
        <v/>
      </c>
      <c r="IQ38" s="66">
        <f t="shared" si="185"/>
        <v>0</v>
      </c>
      <c r="IR38" s="701" t="str">
        <f t="shared" si="186"/>
        <v/>
      </c>
      <c r="IS38" s="146" t="str">
        <f t="shared" si="187"/>
        <v/>
      </c>
      <c r="IT38" s="701" t="str">
        <f t="shared" si="188"/>
        <v/>
      </c>
      <c r="IU38" s="66">
        <f t="shared" si="189"/>
        <v>0</v>
      </c>
      <c r="IV38" s="701" t="str">
        <f t="shared" si="190"/>
        <v/>
      </c>
      <c r="IW38" s="146" t="str">
        <f t="shared" si="191"/>
        <v/>
      </c>
      <c r="IX38" s="701" t="str">
        <f t="shared" si="192"/>
        <v/>
      </c>
      <c r="IY38" s="66">
        <f t="shared" si="193"/>
        <v>0</v>
      </c>
    </row>
    <row r="39" spans="1:259" s="3" customFormat="1" ht="18" customHeight="1" thickTop="1" thickBot="1" x14ac:dyDescent="0.35">
      <c r="A39" s="1468" t="str">
        <f t="shared" si="194"/>
        <v/>
      </c>
      <c r="B39" s="780" t="str">
        <f t="shared" si="6"/>
        <v/>
      </c>
      <c r="D39" s="525" t="str">
        <f>IF(AND(H39&lt;=$AU$7,OR(LEN(F39)&gt;1,LEN(G39)&gt;1),OR(LEFT(F39,1)="s",LEFT(G39,1)="s"),OR(RIGHT(G39,1)="0",RIGHT(G39,1)="1",RIGHT(G39,1)="2",RIGHT(G39,1)="3",RIGHT(G39,1)="4",RIGHT(G39,1)="5",RIGHT(G39,1)="6",RIGHT(G39,1)="7",RIGHT(G39,1)="8",RIGHT(G39,1)="9",RIGHT(F39,1)="0",RIGHT(F39,1)="1",RIGHT(F39,1)="2",RIGHT(F39,1)="3",RIGHT(F39,1)="4",RIGHT(F39,1)="5",RIGHT(F39,1)="6",RIGHT(F39,1)="7",RIGHT(F39,1)="8",RIGHT(F39,1)="9")),"s","")</f>
        <v/>
      </c>
      <c r="E39" s="522" t="str">
        <f>IF(DO68="","",SUM($DO$54:DO68))</f>
        <v/>
      </c>
      <c r="F39" s="843"/>
      <c r="G39" s="844"/>
      <c r="H39" s="1231"/>
      <c r="I39" s="1228"/>
      <c r="J39" s="1229"/>
      <c r="K39" s="1230"/>
      <c r="L39" s="1270" t="str">
        <f>IF('Quadro 2'!G27="","",'Quadro 2'!G27)</f>
        <v/>
      </c>
      <c r="M39" s="1270" t="str">
        <f t="shared" si="195"/>
        <v/>
      </c>
      <c r="N39" s="1459" t="str">
        <f t="shared" si="196"/>
        <v/>
      </c>
      <c r="O39" s="1480" t="str">
        <f t="shared" si="197"/>
        <v/>
      </c>
      <c r="P39" s="1271" t="str">
        <f t="shared" si="198"/>
        <v/>
      </c>
      <c r="Q39" s="1489" t="str">
        <f t="shared" si="199"/>
        <v/>
      </c>
      <c r="R39" s="1426" t="str">
        <f t="shared" si="7"/>
        <v/>
      </c>
      <c r="S39" s="848" t="str">
        <f t="shared" si="8"/>
        <v/>
      </c>
      <c r="T39" s="58" t="str">
        <f t="shared" si="9"/>
        <v/>
      </c>
      <c r="U39" s="1133"/>
      <c r="V39" s="143" t="str">
        <f t="shared" si="200"/>
        <v/>
      </c>
      <c r="W39" s="849" t="str">
        <f>IF(OR(H39="",V39="",V39=0),"",IF($V39&gt;'Quadro 1'!$G$23,'Quadro 1'!$G$23,IF($V39&lt;'Quadro 1'!$G$10,'Quadro 1'!$G$10,MIN($X39,$Y39))))</f>
        <v/>
      </c>
      <c r="X39" s="850" t="str">
        <f>IF($V39&lt;='Quadro 1'!$G$10,'Quadro 1'!$G$10,IF($V39&lt;='Quadro 1'!$G$11,'Quadro 1'!$G$11,IF($V39&lt;='Quadro 1'!$G$12,'Quadro 1'!$G$12,IF($V39&lt;='Quadro 1'!$G$13,'Quadro 1'!$G$13,IF($V39&lt;='Quadro 1'!$G$14,'Quadro 1'!$G$14,IF($V39&lt;='Quadro 1'!$G$15,'Quadro 1'!$G$15,IF($V39&lt;='Quadro 1'!$G$16,'Quadro 1'!$G$16,"")))))))</f>
        <v/>
      </c>
      <c r="Y39" s="851" t="str">
        <f>IF(OR(V39="",V39=0),"",IF($V39&lt;='Quadro 1'!$G$17,'Quadro 1'!$G$17,IF($V39&lt;='Quadro 1'!$G$18,'Quadro 1'!$G$18,IF($V39&lt;='Quadro 1'!$G$19,'Quadro 1'!$G$19,IF($V39&lt;='Quadro 1'!$G$20,'Quadro 1'!$G$20,IF($V39&lt;='Quadro 1'!$G$21,'Quadro 1'!$G$21,IF($V39&lt;='Quadro 1'!$G$22,'Quadro 1'!$G$22,IF($V39&lt;='Quadro 1'!$G$23,'Quadro 1'!$G$23,'Quadro 1'!$G$23))))))))</f>
        <v/>
      </c>
      <c r="Z39" s="852" t="str">
        <f>IF(W39="","",LOOKUP(W39,'Quadro 1'!$G$9:$G$23,'Quadro 1'!$H$9:$H$23))</f>
        <v/>
      </c>
      <c r="AA39" s="1417" t="str">
        <f>IF(W39="","",LOOKUP(W39,'Quadro 1'!$G$9:$G$23,'Quadro 1'!$D$9:$D$23))</f>
        <v/>
      </c>
      <c r="AB39" s="853" t="str">
        <f>IF(W39="","",LOOKUP(W39,'Quadro 1'!$G$9:$G$23,'Quadro 1'!$E$9:$E$23))</f>
        <v/>
      </c>
      <c r="AC39" s="1272" t="str">
        <f t="shared" si="201"/>
        <v/>
      </c>
      <c r="AD39" s="1274" t="str">
        <f t="shared" si="240"/>
        <v/>
      </c>
      <c r="AE39" s="1392" t="str">
        <f t="shared" si="202"/>
        <v/>
      </c>
      <c r="AF39" s="1395" t="str">
        <f t="shared" si="203"/>
        <v/>
      </c>
      <c r="AG39" s="1396" t="str">
        <f t="shared" si="204"/>
        <v/>
      </c>
      <c r="AH39" s="1398" t="str">
        <f t="shared" si="11"/>
        <v/>
      </c>
      <c r="AI39" s="1490" t="str">
        <f t="shared" si="235"/>
        <v/>
      </c>
      <c r="AJ39" s="1502" t="str">
        <f t="shared" si="239"/>
        <v/>
      </c>
      <c r="AK39" s="1503"/>
      <c r="AL39" s="1503"/>
      <c r="AM39" s="1504"/>
      <c r="AN39" s="1275" t="str">
        <f t="shared" si="12"/>
        <v/>
      </c>
      <c r="AO39" s="1502" t="str">
        <f t="shared" si="13"/>
        <v/>
      </c>
      <c r="AP39" s="1507"/>
      <c r="AQ39" s="1504"/>
      <c r="AR39" s="847"/>
      <c r="AS39" s="1258">
        <f t="shared" si="206"/>
        <v>0</v>
      </c>
      <c r="AT39" s="1256">
        <f t="shared" si="207"/>
        <v>0</v>
      </c>
      <c r="AU39" s="1381">
        <f>IF(AT144="",AU144,IF(OR(AT144&lt;&gt;0,AT144&lt;&gt;1),AT144,AU144))</f>
        <v>1</v>
      </c>
      <c r="AV39" s="157" t="str">
        <f>IF(F39="","",IF(F39=$DT$14,1,0))</f>
        <v/>
      </c>
      <c r="AW39" s="87" t="str">
        <f t="shared" si="236"/>
        <v/>
      </c>
      <c r="AX39" s="87" t="str">
        <f t="shared" si="15"/>
        <v/>
      </c>
      <c r="AY39" s="1341" t="str">
        <f t="shared" si="209"/>
        <v/>
      </c>
      <c r="AZ39" s="701">
        <f t="shared" si="210"/>
        <v>1</v>
      </c>
      <c r="BA39" s="1338" t="str">
        <f t="shared" si="211"/>
        <v/>
      </c>
      <c r="BB39" s="1335" t="str">
        <f t="shared" si="212"/>
        <v/>
      </c>
      <c r="BC39" s="86" t="str">
        <f t="shared" si="213"/>
        <v/>
      </c>
      <c r="BD39" s="701">
        <f t="shared" si="214"/>
        <v>1</v>
      </c>
      <c r="BE39" s="1273" t="str">
        <f t="shared" si="215"/>
        <v/>
      </c>
      <c r="BF39" s="86" t="str">
        <f t="shared" si="16"/>
        <v/>
      </c>
      <c r="BG39" s="57" t="str">
        <f t="shared" si="17"/>
        <v/>
      </c>
      <c r="BH39" s="1329">
        <f t="shared" si="216"/>
        <v>0</v>
      </c>
      <c r="BI39" s="88">
        <f t="shared" si="217"/>
        <v>0</v>
      </c>
      <c r="BJ39" s="88" t="str">
        <f t="shared" si="18"/>
        <v/>
      </c>
      <c r="BK39" s="88" t="str">
        <f t="shared" si="19"/>
        <v/>
      </c>
      <c r="BL39" s="88" t="str">
        <f t="shared" si="20"/>
        <v/>
      </c>
      <c r="BM39" s="88" t="str">
        <f t="shared" si="21"/>
        <v/>
      </c>
      <c r="BN39" s="88" t="str">
        <f t="shared" si="22"/>
        <v/>
      </c>
      <c r="BO39" s="88" t="str">
        <f t="shared" si="23"/>
        <v/>
      </c>
      <c r="BP39" s="88" t="str">
        <f t="shared" si="24"/>
        <v/>
      </c>
      <c r="BQ39" s="88" t="str">
        <f t="shared" si="25"/>
        <v/>
      </c>
      <c r="BR39" s="88" t="str">
        <f t="shared" si="26"/>
        <v/>
      </c>
      <c r="BS39" s="88" t="str">
        <f t="shared" si="27"/>
        <v/>
      </c>
      <c r="BT39" s="88" t="str">
        <f t="shared" si="28"/>
        <v/>
      </c>
      <c r="BU39" s="88" t="str">
        <f t="shared" si="29"/>
        <v/>
      </c>
      <c r="BV39" s="88" t="str">
        <f t="shared" si="30"/>
        <v/>
      </c>
      <c r="BW39" s="88" t="str">
        <f t="shared" si="31"/>
        <v/>
      </c>
      <c r="BX39" s="88" t="str">
        <f t="shared" si="32"/>
        <v/>
      </c>
      <c r="BY39" s="88" t="str">
        <f t="shared" si="33"/>
        <v/>
      </c>
      <c r="BZ39" s="88" t="str">
        <f t="shared" si="34"/>
        <v/>
      </c>
      <c r="CA39" s="88" t="str">
        <f t="shared" si="35"/>
        <v/>
      </c>
      <c r="CB39" s="88" t="str">
        <f t="shared" si="36"/>
        <v/>
      </c>
      <c r="CC39" s="88" t="str">
        <f t="shared" si="37"/>
        <v/>
      </c>
      <c r="CD39" s="88" t="str">
        <f t="shared" si="38"/>
        <v/>
      </c>
      <c r="CE39" s="88" t="str">
        <f t="shared" si="39"/>
        <v/>
      </c>
      <c r="CF39" s="88" t="str">
        <f t="shared" si="40"/>
        <v/>
      </c>
      <c r="CG39" s="88" t="str">
        <f t="shared" si="41"/>
        <v/>
      </c>
      <c r="CH39" s="88" t="str">
        <f t="shared" si="42"/>
        <v/>
      </c>
      <c r="CI39" s="790" t="str">
        <f t="shared" si="43"/>
        <v>0</v>
      </c>
      <c r="CJ39" s="791">
        <f t="shared" si="44"/>
        <v>0</v>
      </c>
      <c r="CK39" s="784" t="str">
        <f t="shared" si="45"/>
        <v>NA</v>
      </c>
      <c r="CL39" s="784" t="str">
        <f t="shared" si="46"/>
        <v/>
      </c>
      <c r="CM39" s="784" t="str">
        <f t="shared" si="218"/>
        <v/>
      </c>
      <c r="CN39" s="790" t="str">
        <f t="shared" si="47"/>
        <v/>
      </c>
      <c r="CO39" s="790" t="str">
        <f t="shared" si="48"/>
        <v/>
      </c>
      <c r="CP39" s="784" t="str">
        <f t="shared" si="49"/>
        <v/>
      </c>
      <c r="CQ39" s="790" t="str">
        <f t="shared" si="50"/>
        <v/>
      </c>
      <c r="CR39" s="524">
        <f t="shared" si="51"/>
        <v>0</v>
      </c>
      <c r="CS39" s="257" t="str">
        <f t="shared" si="219"/>
        <v/>
      </c>
      <c r="CT39" s="496">
        <f t="shared" si="238"/>
        <v>155.1</v>
      </c>
      <c r="CU39" s="496">
        <f t="shared" si="237"/>
        <v>155.1</v>
      </c>
      <c r="CV39" s="496">
        <f t="shared" si="220"/>
        <v>155.1</v>
      </c>
      <c r="CW39" s="495" t="str">
        <f t="shared" si="52"/>
        <v/>
      </c>
      <c r="CX39" s="496" t="str">
        <f t="shared" si="53"/>
        <v/>
      </c>
      <c r="CY39" s="496" t="str">
        <f t="shared" si="221"/>
        <v/>
      </c>
      <c r="CZ39" s="1456">
        <f t="shared" si="222"/>
        <v>1</v>
      </c>
      <c r="DA39" s="157" t="str">
        <f t="shared" si="223"/>
        <v/>
      </c>
      <c r="DB39" s="213" t="str">
        <f t="shared" si="224"/>
        <v/>
      </c>
      <c r="DC39" s="213" t="str">
        <f t="shared" si="225"/>
        <v/>
      </c>
      <c r="DD39" s="157" t="str">
        <f t="shared" si="54"/>
        <v/>
      </c>
      <c r="DE39" s="157" t="str">
        <f t="shared" si="55"/>
        <v/>
      </c>
      <c r="DF39" s="157" t="str">
        <f t="shared" si="56"/>
        <v/>
      </c>
      <c r="DG39" s="157" t="str">
        <f t="shared" si="57"/>
        <v/>
      </c>
      <c r="DH39" s="157" t="str">
        <f t="shared" si="58"/>
        <v/>
      </c>
      <c r="DI39" s="157" t="str">
        <f t="shared" si="59"/>
        <v/>
      </c>
      <c r="DJ39" s="157" t="str">
        <f t="shared" si="60"/>
        <v/>
      </c>
      <c r="DK39" s="157" t="str">
        <f t="shared" si="61"/>
        <v/>
      </c>
      <c r="DL39" s="157" t="str">
        <f t="shared" si="62"/>
        <v/>
      </c>
      <c r="DM39" s="157" t="str">
        <f t="shared" si="63"/>
        <v/>
      </c>
      <c r="DN39" s="33">
        <v>15</v>
      </c>
      <c r="DO39" s="1466" t="str">
        <f t="shared" si="226"/>
        <v/>
      </c>
      <c r="DP39" s="1014" t="str">
        <f t="shared" si="64"/>
        <v/>
      </c>
      <c r="DQ39" s="1026" t="str">
        <f t="shared" si="227"/>
        <v/>
      </c>
      <c r="DR39" s="1026" t="str">
        <f t="shared" si="228"/>
        <v/>
      </c>
      <c r="DS39" s="93" t="str">
        <f t="shared" si="65"/>
        <v/>
      </c>
      <c r="DT39" s="213" t="str">
        <f t="shared" si="66"/>
        <v/>
      </c>
      <c r="DU39" s="144" t="str">
        <f t="shared" si="67"/>
        <v/>
      </c>
      <c r="DV39" s="144" t="str">
        <f t="shared" si="68"/>
        <v/>
      </c>
      <c r="DW39" s="144" t="str">
        <f t="shared" si="69"/>
        <v/>
      </c>
      <c r="DX39" s="144" t="str">
        <f t="shared" si="70"/>
        <v/>
      </c>
      <c r="DY39" s="144" t="str">
        <f t="shared" si="71"/>
        <v/>
      </c>
      <c r="DZ39" s="144" t="str">
        <f t="shared" si="72"/>
        <v/>
      </c>
      <c r="EA39" s="144" t="str">
        <f t="shared" si="73"/>
        <v/>
      </c>
      <c r="EB39" s="144" t="str">
        <f t="shared" si="74"/>
        <v/>
      </c>
      <c r="EC39" s="144" t="str">
        <f t="shared" si="75"/>
        <v/>
      </c>
      <c r="ED39" s="144" t="str">
        <f t="shared" si="76"/>
        <v/>
      </c>
      <c r="EE39" s="144" t="str">
        <f t="shared" si="77"/>
        <v/>
      </c>
      <c r="EF39" s="144" t="str">
        <f t="shared" si="78"/>
        <v/>
      </c>
      <c r="EG39" s="144" t="str">
        <f t="shared" si="79"/>
        <v/>
      </c>
      <c r="EH39" s="144" t="str">
        <f t="shared" si="80"/>
        <v/>
      </c>
      <c r="EI39" s="144" t="str">
        <f t="shared" si="81"/>
        <v/>
      </c>
      <c r="EJ39" s="144" t="str">
        <f t="shared" si="82"/>
        <v/>
      </c>
      <c r="EK39" s="144" t="str">
        <f t="shared" si="83"/>
        <v/>
      </c>
      <c r="EL39" s="144" t="str">
        <f t="shared" si="84"/>
        <v/>
      </c>
      <c r="EM39" s="144" t="str">
        <f t="shared" si="85"/>
        <v/>
      </c>
      <c r="EN39" s="719" t="str">
        <f t="shared" si="86"/>
        <v/>
      </c>
      <c r="EO39" s="719" t="str">
        <f t="shared" si="87"/>
        <v/>
      </c>
      <c r="EP39" s="719" t="str">
        <f t="shared" si="88"/>
        <v/>
      </c>
      <c r="EQ39" s="719" t="str">
        <f t="shared" si="89"/>
        <v/>
      </c>
      <c r="ER39" s="719" t="str">
        <f t="shared" si="90"/>
        <v/>
      </c>
      <c r="EU39" s="33">
        <v>15</v>
      </c>
      <c r="EV39" s="735" t="str">
        <f t="shared" si="91"/>
        <v>Crítico</v>
      </c>
      <c r="EW39" s="741">
        <f t="shared" si="92"/>
        <v>1</v>
      </c>
      <c r="EX39" s="121" t="str">
        <f t="shared" si="93"/>
        <v>Crítico</v>
      </c>
      <c r="EY39" s="124">
        <f t="shared" si="229"/>
        <v>1</v>
      </c>
      <c r="EZ39" s="121" t="str">
        <f t="shared" si="94"/>
        <v>Crítico</v>
      </c>
      <c r="FA39" s="122">
        <f t="shared" si="95"/>
        <v>1</v>
      </c>
      <c r="FB39" s="18">
        <f t="shared" si="96"/>
        <v>0</v>
      </c>
      <c r="FC39" s="254" t="str">
        <f t="shared" si="97"/>
        <v/>
      </c>
      <c r="FD39" s="76" t="str">
        <f t="shared" si="230"/>
        <v/>
      </c>
      <c r="FE39" s="18">
        <f t="shared" si="231"/>
        <v>0</v>
      </c>
      <c r="FF39" s="703">
        <f t="shared" si="98"/>
        <v>0</v>
      </c>
      <c r="FG39" s="702">
        <f t="shared" si="99"/>
        <v>0</v>
      </c>
      <c r="FH39" s="19">
        <f t="shared" si="232"/>
        <v>0</v>
      </c>
      <c r="FI39" s="238" t="str">
        <f t="shared" si="233"/>
        <v/>
      </c>
      <c r="FJ39" s="701" t="str">
        <f t="shared" si="100"/>
        <v/>
      </c>
      <c r="FK39" s="66">
        <f t="shared" si="101"/>
        <v>0</v>
      </c>
      <c r="FL39" s="701" t="str">
        <f t="shared" si="102"/>
        <v/>
      </c>
      <c r="FM39" s="146" t="str">
        <f t="shared" si="103"/>
        <v/>
      </c>
      <c r="FN39" s="701" t="str">
        <f t="shared" si="104"/>
        <v/>
      </c>
      <c r="FO39" s="66">
        <f t="shared" si="105"/>
        <v>0</v>
      </c>
      <c r="FP39" s="701" t="str">
        <f t="shared" si="106"/>
        <v/>
      </c>
      <c r="FQ39" s="146" t="str">
        <f t="shared" si="107"/>
        <v/>
      </c>
      <c r="FR39" s="701" t="str">
        <f t="shared" si="108"/>
        <v/>
      </c>
      <c r="FS39" s="66">
        <f t="shared" si="109"/>
        <v>0</v>
      </c>
      <c r="FT39" s="701" t="str">
        <f t="shared" si="110"/>
        <v/>
      </c>
      <c r="FU39" s="146" t="str">
        <f t="shared" si="111"/>
        <v/>
      </c>
      <c r="FV39" s="701" t="str">
        <f t="shared" si="112"/>
        <v/>
      </c>
      <c r="FW39" s="66">
        <f t="shared" si="113"/>
        <v>0</v>
      </c>
      <c r="FX39" s="701" t="str">
        <f t="shared" si="114"/>
        <v/>
      </c>
      <c r="FY39" s="146" t="str">
        <f t="shared" si="115"/>
        <v/>
      </c>
      <c r="FZ39" s="701" t="str">
        <f t="shared" si="116"/>
        <v/>
      </c>
      <c r="GA39" s="66">
        <f t="shared" si="117"/>
        <v>0</v>
      </c>
      <c r="GB39" s="701" t="str">
        <f t="shared" si="118"/>
        <v/>
      </c>
      <c r="GC39" s="146" t="str">
        <f t="shared" si="119"/>
        <v/>
      </c>
      <c r="GD39" s="701" t="str">
        <f t="shared" si="120"/>
        <v/>
      </c>
      <c r="GE39" s="66">
        <f t="shared" si="121"/>
        <v>0</v>
      </c>
      <c r="GF39" s="701" t="str">
        <f t="shared" si="122"/>
        <v/>
      </c>
      <c r="GG39" s="146" t="str">
        <f t="shared" si="123"/>
        <v/>
      </c>
      <c r="GH39" s="701" t="str">
        <f t="shared" si="124"/>
        <v/>
      </c>
      <c r="GI39" s="66">
        <f t="shared" si="125"/>
        <v>0</v>
      </c>
      <c r="GJ39" s="701" t="str">
        <f t="shared" si="126"/>
        <v/>
      </c>
      <c r="GK39" s="146" t="str">
        <f t="shared" si="127"/>
        <v/>
      </c>
      <c r="GL39" s="701" t="str">
        <f t="shared" si="128"/>
        <v/>
      </c>
      <c r="GM39" s="66">
        <f t="shared" si="129"/>
        <v>0</v>
      </c>
      <c r="GN39" s="701" t="str">
        <f t="shared" si="130"/>
        <v/>
      </c>
      <c r="GO39" s="146" t="str">
        <f t="shared" si="131"/>
        <v/>
      </c>
      <c r="GP39" s="701" t="str">
        <f t="shared" si="132"/>
        <v/>
      </c>
      <c r="GQ39" s="66">
        <f t="shared" si="133"/>
        <v>0</v>
      </c>
      <c r="GR39" s="701" t="str">
        <f t="shared" si="134"/>
        <v/>
      </c>
      <c r="GS39" s="146" t="str">
        <f t="shared" si="135"/>
        <v/>
      </c>
      <c r="GT39" s="701" t="str">
        <f t="shared" si="136"/>
        <v/>
      </c>
      <c r="GU39" s="66">
        <f t="shared" si="137"/>
        <v>0</v>
      </c>
      <c r="GV39" s="701" t="str">
        <f t="shared" si="138"/>
        <v/>
      </c>
      <c r="GW39" s="146" t="str">
        <f t="shared" si="139"/>
        <v/>
      </c>
      <c r="GX39" s="701" t="str">
        <f t="shared" si="140"/>
        <v/>
      </c>
      <c r="GY39" s="66">
        <f t="shared" si="141"/>
        <v>0</v>
      </c>
      <c r="GZ39" s="701" t="str">
        <f t="shared" si="142"/>
        <v/>
      </c>
      <c r="HA39" s="146" t="str">
        <f t="shared" si="143"/>
        <v/>
      </c>
      <c r="HB39" s="701" t="str">
        <f t="shared" si="144"/>
        <v/>
      </c>
      <c r="HC39" s="66">
        <f t="shared" si="145"/>
        <v>0</v>
      </c>
      <c r="HD39" s="701" t="str">
        <f t="shared" si="146"/>
        <v/>
      </c>
      <c r="HE39" s="146" t="str">
        <f t="shared" si="147"/>
        <v/>
      </c>
      <c r="HF39" s="701" t="str">
        <f t="shared" si="148"/>
        <v/>
      </c>
      <c r="HG39" s="66">
        <f t="shared" si="149"/>
        <v>0</v>
      </c>
      <c r="HH39" s="701" t="str">
        <f t="shared" si="150"/>
        <v/>
      </c>
      <c r="HI39" s="146" t="str">
        <f t="shared" si="151"/>
        <v/>
      </c>
      <c r="HJ39" s="701" t="str">
        <f t="shared" si="152"/>
        <v/>
      </c>
      <c r="HK39" s="66">
        <f t="shared" si="153"/>
        <v>0</v>
      </c>
      <c r="HL39" s="701" t="str">
        <f t="shared" si="154"/>
        <v/>
      </c>
      <c r="HM39" s="146" t="str">
        <f t="shared" si="155"/>
        <v/>
      </c>
      <c r="HN39" s="701" t="str">
        <f t="shared" si="156"/>
        <v/>
      </c>
      <c r="HO39" s="66">
        <f t="shared" si="157"/>
        <v>0</v>
      </c>
      <c r="HP39" s="701" t="str">
        <f t="shared" si="158"/>
        <v/>
      </c>
      <c r="HQ39" s="146" t="str">
        <f t="shared" si="159"/>
        <v/>
      </c>
      <c r="HR39" s="701" t="str">
        <f t="shared" si="160"/>
        <v/>
      </c>
      <c r="HS39" s="66">
        <f t="shared" si="161"/>
        <v>0</v>
      </c>
      <c r="HT39" s="701" t="str">
        <f t="shared" si="162"/>
        <v/>
      </c>
      <c r="HU39" s="146" t="str">
        <f t="shared" si="163"/>
        <v/>
      </c>
      <c r="HV39" s="701" t="str">
        <f t="shared" si="164"/>
        <v/>
      </c>
      <c r="HW39" s="66">
        <f t="shared" si="165"/>
        <v>0</v>
      </c>
      <c r="HX39" s="701" t="str">
        <f t="shared" si="166"/>
        <v/>
      </c>
      <c r="HY39" s="146" t="str">
        <f t="shared" si="167"/>
        <v/>
      </c>
      <c r="HZ39" s="701" t="str">
        <f t="shared" si="168"/>
        <v/>
      </c>
      <c r="IA39" s="66">
        <f t="shared" si="169"/>
        <v>0</v>
      </c>
      <c r="IB39" s="701" t="str">
        <f t="shared" si="170"/>
        <v/>
      </c>
      <c r="IC39" s="146" t="str">
        <f t="shared" si="171"/>
        <v/>
      </c>
      <c r="ID39" s="701" t="str">
        <f t="shared" si="172"/>
        <v/>
      </c>
      <c r="IE39" s="66">
        <f t="shared" si="173"/>
        <v>0</v>
      </c>
      <c r="IF39" s="701" t="str">
        <f t="shared" si="174"/>
        <v/>
      </c>
      <c r="IG39" s="146" t="str">
        <f t="shared" si="175"/>
        <v/>
      </c>
      <c r="IH39" s="701" t="str">
        <f t="shared" si="176"/>
        <v/>
      </c>
      <c r="II39" s="66">
        <f t="shared" si="177"/>
        <v>0</v>
      </c>
      <c r="IJ39" s="701" t="str">
        <f t="shared" si="178"/>
        <v/>
      </c>
      <c r="IK39" s="146" t="str">
        <f t="shared" si="179"/>
        <v/>
      </c>
      <c r="IL39" s="701" t="str">
        <f t="shared" si="180"/>
        <v/>
      </c>
      <c r="IM39" s="66">
        <f t="shared" si="181"/>
        <v>0</v>
      </c>
      <c r="IN39" s="701" t="str">
        <f t="shared" si="182"/>
        <v/>
      </c>
      <c r="IO39" s="146" t="str">
        <f t="shared" si="183"/>
        <v/>
      </c>
      <c r="IP39" s="701" t="str">
        <f t="shared" si="184"/>
        <v/>
      </c>
      <c r="IQ39" s="66">
        <f t="shared" si="185"/>
        <v>0</v>
      </c>
      <c r="IR39" s="701" t="str">
        <f t="shared" si="186"/>
        <v/>
      </c>
      <c r="IS39" s="146" t="str">
        <f t="shared" si="187"/>
        <v/>
      </c>
      <c r="IT39" s="701" t="str">
        <f t="shared" si="188"/>
        <v/>
      </c>
      <c r="IU39" s="66">
        <f t="shared" si="189"/>
        <v>0</v>
      </c>
      <c r="IV39" s="701" t="str">
        <f t="shared" si="190"/>
        <v/>
      </c>
      <c r="IW39" s="146" t="str">
        <f t="shared" si="191"/>
        <v/>
      </c>
      <c r="IX39" s="701" t="str">
        <f t="shared" si="192"/>
        <v/>
      </c>
      <c r="IY39" s="66">
        <f t="shared" si="193"/>
        <v>0</v>
      </c>
    </row>
    <row r="40" spans="1:259" s="3" customFormat="1" ht="18" customHeight="1" thickTop="1" thickBot="1" x14ac:dyDescent="0.35">
      <c r="A40" s="1468" t="str">
        <f t="shared" si="194"/>
        <v/>
      </c>
      <c r="B40" s="780" t="str">
        <f t="shared" si="6"/>
        <v/>
      </c>
      <c r="D40" s="525" t="str">
        <f t="shared" si="234"/>
        <v/>
      </c>
      <c r="E40" s="522" t="str">
        <f>IF(DO69="","",SUM($DO$54:DO69))</f>
        <v/>
      </c>
      <c r="F40" s="843"/>
      <c r="G40" s="844"/>
      <c r="H40" s="1231"/>
      <c r="I40" s="1228"/>
      <c r="J40" s="1229"/>
      <c r="K40" s="1230"/>
      <c r="L40" s="1270" t="str">
        <f>IF('Quadro 2'!G28="","",'Quadro 2'!G28)</f>
        <v/>
      </c>
      <c r="M40" s="1270" t="str">
        <f t="shared" si="195"/>
        <v/>
      </c>
      <c r="N40" s="1459" t="str">
        <f t="shared" si="196"/>
        <v/>
      </c>
      <c r="O40" s="1480" t="str">
        <f t="shared" si="197"/>
        <v/>
      </c>
      <c r="P40" s="1271" t="str">
        <f t="shared" si="198"/>
        <v/>
      </c>
      <c r="Q40" s="1489" t="str">
        <f t="shared" si="199"/>
        <v/>
      </c>
      <c r="R40" s="1426" t="str">
        <f t="shared" si="7"/>
        <v/>
      </c>
      <c r="S40" s="848" t="str">
        <f t="shared" ref="S40:S49" si="241">IF(OR(R40="",R40=0),"","Aço")</f>
        <v/>
      </c>
      <c r="T40" s="58" t="str">
        <f t="shared" si="9"/>
        <v/>
      </c>
      <c r="U40" s="1133"/>
      <c r="V40" s="143" t="str">
        <f t="shared" si="200"/>
        <v/>
      </c>
      <c r="W40" s="849" t="str">
        <f>IF(OR(H40="",V40="",V40=0),"",IF($V40&gt;'Quadro 1'!$G$23,'Quadro 1'!$G$23,IF($V40&lt;'Quadro 1'!$G$10,'Quadro 1'!$G$10,MIN($X40,$Y40))))</f>
        <v/>
      </c>
      <c r="X40" s="850" t="str">
        <f>IF($V40&lt;='Quadro 1'!$G$10,'Quadro 1'!$G$10,IF($V40&lt;='Quadro 1'!$G$11,'Quadro 1'!$G$11,IF($V40&lt;='Quadro 1'!$G$12,'Quadro 1'!$G$12,IF($V40&lt;='Quadro 1'!$G$13,'Quadro 1'!$G$13,IF($V40&lt;='Quadro 1'!$G$14,'Quadro 1'!$G$14,IF($V40&lt;='Quadro 1'!$G$15,'Quadro 1'!$G$15,IF($V40&lt;='Quadro 1'!$G$16,'Quadro 1'!$G$16,"")))))))</f>
        <v/>
      </c>
      <c r="Y40" s="851" t="str">
        <f>IF(OR(V40="",V40=0),"",IF($V40&lt;='Quadro 1'!$G$17,'Quadro 1'!$G$17,IF($V40&lt;='Quadro 1'!$G$18,'Quadro 1'!$G$18,IF($V40&lt;='Quadro 1'!$G$19,'Quadro 1'!$G$19,IF($V40&lt;='Quadro 1'!$G$20,'Quadro 1'!$G$20,IF($V40&lt;='Quadro 1'!$G$21,'Quadro 1'!$G$21,IF($V40&lt;='Quadro 1'!$G$22,'Quadro 1'!$G$22,IF($V40&lt;='Quadro 1'!$G$23,'Quadro 1'!$G$23,'Quadro 1'!$G$23))))))))</f>
        <v/>
      </c>
      <c r="Z40" s="852" t="str">
        <f>IF(W40="","",LOOKUP(W40,'Quadro 1'!$G$9:$G$23,'Quadro 1'!$H$9:$H$23))</f>
        <v/>
      </c>
      <c r="AA40" s="1417" t="str">
        <f>IF(W40="","",LOOKUP(W40,'Quadro 1'!$G$9:$G$23,'Quadro 1'!$D$9:$D$23))</f>
        <v/>
      </c>
      <c r="AB40" s="853" t="str">
        <f>IF(W40="","",LOOKUP(W40,'Quadro 1'!$G$9:$G$23,'Quadro 1'!$E$9:$E$23))</f>
        <v/>
      </c>
      <c r="AC40" s="1272" t="str">
        <f t="shared" si="201"/>
        <v/>
      </c>
      <c r="AD40" s="1274" t="str">
        <f t="shared" si="240"/>
        <v/>
      </c>
      <c r="AE40" s="1392" t="str">
        <f t="shared" si="202"/>
        <v/>
      </c>
      <c r="AF40" s="1395" t="str">
        <f t="shared" si="203"/>
        <v/>
      </c>
      <c r="AG40" s="1396" t="str">
        <f t="shared" si="204"/>
        <v/>
      </c>
      <c r="AH40" s="1398" t="str">
        <f t="shared" si="11"/>
        <v/>
      </c>
      <c r="AI40" s="1490" t="str">
        <f t="shared" si="235"/>
        <v/>
      </c>
      <c r="AJ40" s="1502" t="str">
        <f t="shared" si="239"/>
        <v/>
      </c>
      <c r="AK40" s="1503"/>
      <c r="AL40" s="1503"/>
      <c r="AM40" s="1504"/>
      <c r="AN40" s="1275" t="str">
        <f t="shared" si="12"/>
        <v/>
      </c>
      <c r="AO40" s="1502" t="str">
        <f t="shared" si="13"/>
        <v/>
      </c>
      <c r="AP40" s="1507"/>
      <c r="AQ40" s="1504"/>
      <c r="AR40" s="847"/>
      <c r="AS40" s="1258">
        <f t="shared" si="206"/>
        <v>0</v>
      </c>
      <c r="AT40" s="1256">
        <f t="shared" si="207"/>
        <v>0</v>
      </c>
      <c r="AU40" s="1381">
        <f>IF(AT145="",AU145,IF(OR(AT145&lt;&gt;0,AT145&lt;&gt;1),AT145,AU145))</f>
        <v>1</v>
      </c>
      <c r="AV40" s="157" t="str">
        <f t="shared" si="14"/>
        <v/>
      </c>
      <c r="AW40" s="87" t="str">
        <f t="shared" si="236"/>
        <v/>
      </c>
      <c r="AX40" s="87" t="str">
        <f t="shared" si="15"/>
        <v/>
      </c>
      <c r="AY40" s="1341" t="str">
        <f t="shared" si="209"/>
        <v/>
      </c>
      <c r="AZ40" s="701">
        <f t="shared" si="210"/>
        <v>1</v>
      </c>
      <c r="BA40" s="1338" t="str">
        <f t="shared" si="211"/>
        <v/>
      </c>
      <c r="BB40" s="1335" t="str">
        <f t="shared" si="212"/>
        <v/>
      </c>
      <c r="BC40" s="86" t="str">
        <f t="shared" si="213"/>
        <v/>
      </c>
      <c r="BD40" s="701">
        <f t="shared" si="214"/>
        <v>1</v>
      </c>
      <c r="BE40" s="1273" t="str">
        <f t="shared" si="215"/>
        <v/>
      </c>
      <c r="BF40" s="86" t="str">
        <f t="shared" si="16"/>
        <v/>
      </c>
      <c r="BG40" s="57" t="str">
        <f t="shared" si="17"/>
        <v/>
      </c>
      <c r="BH40" s="1329">
        <f t="shared" si="216"/>
        <v>0</v>
      </c>
      <c r="BI40" s="88">
        <f t="shared" si="217"/>
        <v>0</v>
      </c>
      <c r="BJ40" s="88" t="str">
        <f t="shared" si="18"/>
        <v/>
      </c>
      <c r="BK40" s="88" t="str">
        <f t="shared" si="19"/>
        <v/>
      </c>
      <c r="BL40" s="88" t="str">
        <f t="shared" si="20"/>
        <v/>
      </c>
      <c r="BM40" s="88" t="str">
        <f t="shared" si="21"/>
        <v/>
      </c>
      <c r="BN40" s="88" t="str">
        <f t="shared" si="22"/>
        <v/>
      </c>
      <c r="BO40" s="88" t="str">
        <f t="shared" si="23"/>
        <v/>
      </c>
      <c r="BP40" s="88" t="str">
        <f t="shared" si="24"/>
        <v/>
      </c>
      <c r="BQ40" s="88" t="str">
        <f t="shared" si="25"/>
        <v/>
      </c>
      <c r="BR40" s="88" t="str">
        <f t="shared" si="26"/>
        <v/>
      </c>
      <c r="BS40" s="88" t="str">
        <f t="shared" si="27"/>
        <v/>
      </c>
      <c r="BT40" s="88" t="str">
        <f t="shared" si="28"/>
        <v/>
      </c>
      <c r="BU40" s="88" t="str">
        <f t="shared" si="29"/>
        <v/>
      </c>
      <c r="BV40" s="88" t="str">
        <f t="shared" si="30"/>
        <v/>
      </c>
      <c r="BW40" s="88" t="str">
        <f t="shared" si="31"/>
        <v/>
      </c>
      <c r="BX40" s="88" t="str">
        <f t="shared" si="32"/>
        <v/>
      </c>
      <c r="BY40" s="88" t="str">
        <f t="shared" si="33"/>
        <v/>
      </c>
      <c r="BZ40" s="88" t="str">
        <f t="shared" si="34"/>
        <v/>
      </c>
      <c r="CA40" s="88" t="str">
        <f t="shared" si="35"/>
        <v/>
      </c>
      <c r="CB40" s="88" t="str">
        <f t="shared" si="36"/>
        <v/>
      </c>
      <c r="CC40" s="88" t="str">
        <f t="shared" si="37"/>
        <v/>
      </c>
      <c r="CD40" s="88" t="str">
        <f t="shared" si="38"/>
        <v/>
      </c>
      <c r="CE40" s="88" t="str">
        <f t="shared" si="39"/>
        <v/>
      </c>
      <c r="CF40" s="88" t="str">
        <f t="shared" si="40"/>
        <v/>
      </c>
      <c r="CG40" s="88" t="str">
        <f t="shared" si="41"/>
        <v/>
      </c>
      <c r="CH40" s="88" t="str">
        <f t="shared" si="42"/>
        <v/>
      </c>
      <c r="CI40" s="790" t="str">
        <f t="shared" si="43"/>
        <v>0</v>
      </c>
      <c r="CJ40" s="791">
        <f t="shared" si="44"/>
        <v>0</v>
      </c>
      <c r="CK40" s="784" t="str">
        <f t="shared" si="45"/>
        <v>NA</v>
      </c>
      <c r="CL40" s="784" t="str">
        <f t="shared" si="46"/>
        <v/>
      </c>
      <c r="CM40" s="784" t="str">
        <f t="shared" si="218"/>
        <v/>
      </c>
      <c r="CN40" s="790" t="str">
        <f t="shared" si="47"/>
        <v/>
      </c>
      <c r="CO40" s="790" t="str">
        <f t="shared" si="48"/>
        <v/>
      </c>
      <c r="CP40" s="784" t="str">
        <f t="shared" si="49"/>
        <v/>
      </c>
      <c r="CQ40" s="790" t="str">
        <f t="shared" si="50"/>
        <v/>
      </c>
      <c r="CR40" s="524">
        <f t="shared" si="51"/>
        <v>0</v>
      </c>
      <c r="CS40" s="257" t="str">
        <f t="shared" si="219"/>
        <v/>
      </c>
      <c r="CT40" s="496">
        <f t="shared" si="238"/>
        <v>155.1</v>
      </c>
      <c r="CU40" s="496">
        <f t="shared" si="237"/>
        <v>155.1</v>
      </c>
      <c r="CV40" s="496">
        <f t="shared" si="220"/>
        <v>155.1</v>
      </c>
      <c r="CW40" s="495" t="str">
        <f t="shared" si="52"/>
        <v/>
      </c>
      <c r="CX40" s="496" t="str">
        <f t="shared" si="53"/>
        <v/>
      </c>
      <c r="CY40" s="496" t="str">
        <f t="shared" si="221"/>
        <v/>
      </c>
      <c r="CZ40" s="1456">
        <f t="shared" si="222"/>
        <v>1</v>
      </c>
      <c r="DA40" s="157" t="str">
        <f t="shared" si="223"/>
        <v/>
      </c>
      <c r="DB40" s="213" t="str">
        <f t="shared" si="224"/>
        <v/>
      </c>
      <c r="DC40" s="213" t="str">
        <f t="shared" si="225"/>
        <v/>
      </c>
      <c r="DD40" s="157" t="str">
        <f t="shared" si="54"/>
        <v/>
      </c>
      <c r="DE40" s="157" t="str">
        <f t="shared" si="55"/>
        <v/>
      </c>
      <c r="DF40" s="157" t="str">
        <f t="shared" si="56"/>
        <v/>
      </c>
      <c r="DG40" s="157" t="str">
        <f t="shared" si="57"/>
        <v/>
      </c>
      <c r="DH40" s="157" t="str">
        <f t="shared" si="58"/>
        <v/>
      </c>
      <c r="DI40" s="157" t="str">
        <f t="shared" si="59"/>
        <v/>
      </c>
      <c r="DJ40" s="157" t="str">
        <f t="shared" si="60"/>
        <v/>
      </c>
      <c r="DK40" s="157" t="str">
        <f t="shared" si="61"/>
        <v/>
      </c>
      <c r="DL40" s="157" t="str">
        <f t="shared" si="62"/>
        <v/>
      </c>
      <c r="DM40" s="157" t="str">
        <f t="shared" si="63"/>
        <v/>
      </c>
      <c r="DN40" s="33">
        <v>16</v>
      </c>
      <c r="DO40" s="1466" t="str">
        <f t="shared" si="226"/>
        <v/>
      </c>
      <c r="DP40" s="1014" t="str">
        <f t="shared" si="64"/>
        <v/>
      </c>
      <c r="DQ40" s="1026" t="str">
        <f t="shared" si="227"/>
        <v/>
      </c>
      <c r="DR40" s="1026" t="str">
        <f t="shared" si="228"/>
        <v/>
      </c>
      <c r="DS40" s="93" t="str">
        <f t="shared" si="65"/>
        <v/>
      </c>
      <c r="DT40" s="213" t="str">
        <f t="shared" si="66"/>
        <v/>
      </c>
      <c r="DU40" s="144" t="str">
        <f t="shared" si="67"/>
        <v/>
      </c>
      <c r="DV40" s="144" t="str">
        <f t="shared" si="68"/>
        <v/>
      </c>
      <c r="DW40" s="144" t="str">
        <f t="shared" si="69"/>
        <v/>
      </c>
      <c r="DX40" s="144" t="str">
        <f t="shared" si="70"/>
        <v/>
      </c>
      <c r="DY40" s="144" t="str">
        <f t="shared" si="71"/>
        <v/>
      </c>
      <c r="DZ40" s="144" t="str">
        <f t="shared" si="72"/>
        <v/>
      </c>
      <c r="EA40" s="144" t="str">
        <f t="shared" si="73"/>
        <v/>
      </c>
      <c r="EB40" s="144" t="str">
        <f t="shared" si="74"/>
        <v/>
      </c>
      <c r="EC40" s="144" t="str">
        <f t="shared" si="75"/>
        <v/>
      </c>
      <c r="ED40" s="144" t="str">
        <f t="shared" si="76"/>
        <v/>
      </c>
      <c r="EE40" s="144" t="str">
        <f t="shared" si="77"/>
        <v/>
      </c>
      <c r="EF40" s="144" t="str">
        <f t="shared" si="78"/>
        <v/>
      </c>
      <c r="EG40" s="144" t="str">
        <f t="shared" si="79"/>
        <v/>
      </c>
      <c r="EH40" s="144" t="str">
        <f t="shared" si="80"/>
        <v/>
      </c>
      <c r="EI40" s="144" t="str">
        <f t="shared" si="81"/>
        <v/>
      </c>
      <c r="EJ40" s="144" t="str">
        <f t="shared" si="82"/>
        <v/>
      </c>
      <c r="EK40" s="144" t="str">
        <f t="shared" si="83"/>
        <v/>
      </c>
      <c r="EL40" s="144" t="str">
        <f t="shared" si="84"/>
        <v/>
      </c>
      <c r="EM40" s="144" t="str">
        <f t="shared" si="85"/>
        <v/>
      </c>
      <c r="EN40" s="719" t="str">
        <f t="shared" si="86"/>
        <v/>
      </c>
      <c r="EO40" s="719" t="str">
        <f t="shared" si="87"/>
        <v/>
      </c>
      <c r="EP40" s="719" t="str">
        <f t="shared" si="88"/>
        <v/>
      </c>
      <c r="EQ40" s="719" t="str">
        <f t="shared" si="89"/>
        <v/>
      </c>
      <c r="ER40" s="719" t="str">
        <f t="shared" si="90"/>
        <v/>
      </c>
      <c r="EU40" s="33">
        <v>16</v>
      </c>
      <c r="EV40" s="735" t="str">
        <f t="shared" si="91"/>
        <v>Crítico</v>
      </c>
      <c r="EW40" s="741">
        <f t="shared" si="92"/>
        <v>1</v>
      </c>
      <c r="EX40" s="121" t="str">
        <f t="shared" si="93"/>
        <v>Crítico</v>
      </c>
      <c r="EY40" s="124">
        <f t="shared" si="229"/>
        <v>1</v>
      </c>
      <c r="EZ40" s="121" t="str">
        <f t="shared" si="94"/>
        <v>Crítico</v>
      </c>
      <c r="FA40" s="122">
        <f t="shared" si="95"/>
        <v>1</v>
      </c>
      <c r="FB40" s="18">
        <f t="shared" si="96"/>
        <v>0</v>
      </c>
      <c r="FC40" s="254" t="str">
        <f t="shared" si="97"/>
        <v/>
      </c>
      <c r="FD40" s="76" t="str">
        <f t="shared" si="230"/>
        <v/>
      </c>
      <c r="FE40" s="18">
        <f t="shared" si="231"/>
        <v>0</v>
      </c>
      <c r="FF40" s="703">
        <f t="shared" si="98"/>
        <v>0</v>
      </c>
      <c r="FG40" s="702">
        <f t="shared" si="99"/>
        <v>0</v>
      </c>
      <c r="FH40" s="19">
        <f t="shared" si="232"/>
        <v>0</v>
      </c>
      <c r="FI40" s="238" t="str">
        <f t="shared" si="233"/>
        <v/>
      </c>
      <c r="FJ40" s="701" t="str">
        <f t="shared" si="100"/>
        <v/>
      </c>
      <c r="FK40" s="66">
        <f t="shared" si="101"/>
        <v>0</v>
      </c>
      <c r="FL40" s="701" t="str">
        <f t="shared" si="102"/>
        <v/>
      </c>
      <c r="FM40" s="146" t="str">
        <f t="shared" si="103"/>
        <v/>
      </c>
      <c r="FN40" s="701" t="str">
        <f t="shared" si="104"/>
        <v/>
      </c>
      <c r="FO40" s="66">
        <f t="shared" si="105"/>
        <v>0</v>
      </c>
      <c r="FP40" s="701" t="str">
        <f t="shared" si="106"/>
        <v/>
      </c>
      <c r="FQ40" s="146" t="str">
        <f t="shared" si="107"/>
        <v/>
      </c>
      <c r="FR40" s="701" t="str">
        <f t="shared" si="108"/>
        <v/>
      </c>
      <c r="FS40" s="66">
        <f t="shared" si="109"/>
        <v>0</v>
      </c>
      <c r="FT40" s="701" t="str">
        <f t="shared" si="110"/>
        <v/>
      </c>
      <c r="FU40" s="146" t="str">
        <f t="shared" si="111"/>
        <v/>
      </c>
      <c r="FV40" s="701" t="str">
        <f t="shared" si="112"/>
        <v/>
      </c>
      <c r="FW40" s="66">
        <f t="shared" si="113"/>
        <v>0</v>
      </c>
      <c r="FX40" s="701" t="str">
        <f t="shared" si="114"/>
        <v/>
      </c>
      <c r="FY40" s="146" t="str">
        <f t="shared" si="115"/>
        <v/>
      </c>
      <c r="FZ40" s="701" t="str">
        <f t="shared" si="116"/>
        <v/>
      </c>
      <c r="GA40" s="66">
        <f t="shared" si="117"/>
        <v>0</v>
      </c>
      <c r="GB40" s="701" t="str">
        <f t="shared" si="118"/>
        <v/>
      </c>
      <c r="GC40" s="146" t="str">
        <f t="shared" si="119"/>
        <v/>
      </c>
      <c r="GD40" s="701" t="str">
        <f t="shared" si="120"/>
        <v/>
      </c>
      <c r="GE40" s="66">
        <f t="shared" si="121"/>
        <v>0</v>
      </c>
      <c r="GF40" s="701" t="str">
        <f t="shared" si="122"/>
        <v/>
      </c>
      <c r="GG40" s="146" t="str">
        <f t="shared" si="123"/>
        <v/>
      </c>
      <c r="GH40" s="701" t="str">
        <f t="shared" si="124"/>
        <v/>
      </c>
      <c r="GI40" s="66">
        <f t="shared" si="125"/>
        <v>0</v>
      </c>
      <c r="GJ40" s="701" t="str">
        <f t="shared" si="126"/>
        <v/>
      </c>
      <c r="GK40" s="146" t="str">
        <f t="shared" si="127"/>
        <v/>
      </c>
      <c r="GL40" s="701" t="str">
        <f t="shared" si="128"/>
        <v/>
      </c>
      <c r="GM40" s="66">
        <f t="shared" si="129"/>
        <v>0</v>
      </c>
      <c r="GN40" s="701" t="str">
        <f t="shared" si="130"/>
        <v/>
      </c>
      <c r="GO40" s="146" t="str">
        <f t="shared" si="131"/>
        <v/>
      </c>
      <c r="GP40" s="701" t="str">
        <f t="shared" si="132"/>
        <v/>
      </c>
      <c r="GQ40" s="66">
        <f t="shared" si="133"/>
        <v>0</v>
      </c>
      <c r="GR40" s="701" t="str">
        <f t="shared" si="134"/>
        <v/>
      </c>
      <c r="GS40" s="146" t="str">
        <f t="shared" si="135"/>
        <v/>
      </c>
      <c r="GT40" s="701" t="str">
        <f t="shared" si="136"/>
        <v/>
      </c>
      <c r="GU40" s="66">
        <f t="shared" si="137"/>
        <v>0</v>
      </c>
      <c r="GV40" s="701" t="str">
        <f t="shared" si="138"/>
        <v/>
      </c>
      <c r="GW40" s="146" t="str">
        <f t="shared" si="139"/>
        <v/>
      </c>
      <c r="GX40" s="701" t="str">
        <f t="shared" si="140"/>
        <v/>
      </c>
      <c r="GY40" s="66">
        <f t="shared" si="141"/>
        <v>0</v>
      </c>
      <c r="GZ40" s="701" t="str">
        <f t="shared" si="142"/>
        <v/>
      </c>
      <c r="HA40" s="146" t="str">
        <f t="shared" si="143"/>
        <v/>
      </c>
      <c r="HB40" s="701" t="str">
        <f t="shared" si="144"/>
        <v/>
      </c>
      <c r="HC40" s="66">
        <f t="shared" si="145"/>
        <v>0</v>
      </c>
      <c r="HD40" s="701" t="str">
        <f t="shared" si="146"/>
        <v/>
      </c>
      <c r="HE40" s="146" t="str">
        <f t="shared" si="147"/>
        <v/>
      </c>
      <c r="HF40" s="701" t="str">
        <f t="shared" si="148"/>
        <v/>
      </c>
      <c r="HG40" s="66">
        <f t="shared" si="149"/>
        <v>0</v>
      </c>
      <c r="HH40" s="701" t="str">
        <f t="shared" si="150"/>
        <v/>
      </c>
      <c r="HI40" s="146" t="str">
        <f t="shared" si="151"/>
        <v/>
      </c>
      <c r="HJ40" s="701" t="str">
        <f t="shared" si="152"/>
        <v/>
      </c>
      <c r="HK40" s="66">
        <f t="shared" si="153"/>
        <v>0</v>
      </c>
      <c r="HL40" s="701" t="str">
        <f t="shared" si="154"/>
        <v/>
      </c>
      <c r="HM40" s="146" t="str">
        <f t="shared" si="155"/>
        <v/>
      </c>
      <c r="HN40" s="701" t="str">
        <f t="shared" si="156"/>
        <v/>
      </c>
      <c r="HO40" s="66">
        <f t="shared" si="157"/>
        <v>0</v>
      </c>
      <c r="HP40" s="701" t="str">
        <f t="shared" si="158"/>
        <v/>
      </c>
      <c r="HQ40" s="146" t="str">
        <f t="shared" si="159"/>
        <v/>
      </c>
      <c r="HR40" s="701" t="str">
        <f t="shared" si="160"/>
        <v/>
      </c>
      <c r="HS40" s="66">
        <f t="shared" si="161"/>
        <v>0</v>
      </c>
      <c r="HT40" s="701" t="str">
        <f t="shared" si="162"/>
        <v/>
      </c>
      <c r="HU40" s="146" t="str">
        <f t="shared" si="163"/>
        <v/>
      </c>
      <c r="HV40" s="701" t="str">
        <f t="shared" si="164"/>
        <v/>
      </c>
      <c r="HW40" s="66">
        <f t="shared" si="165"/>
        <v>0</v>
      </c>
      <c r="HX40" s="701" t="str">
        <f t="shared" si="166"/>
        <v/>
      </c>
      <c r="HY40" s="146" t="str">
        <f t="shared" si="167"/>
        <v/>
      </c>
      <c r="HZ40" s="701" t="str">
        <f t="shared" si="168"/>
        <v/>
      </c>
      <c r="IA40" s="66">
        <f t="shared" si="169"/>
        <v>0</v>
      </c>
      <c r="IB40" s="701" t="str">
        <f t="shared" si="170"/>
        <v/>
      </c>
      <c r="IC40" s="146" t="str">
        <f t="shared" si="171"/>
        <v/>
      </c>
      <c r="ID40" s="701" t="str">
        <f t="shared" si="172"/>
        <v/>
      </c>
      <c r="IE40" s="66">
        <f t="shared" si="173"/>
        <v>0</v>
      </c>
      <c r="IF40" s="701" t="str">
        <f t="shared" si="174"/>
        <v/>
      </c>
      <c r="IG40" s="146" t="str">
        <f t="shared" si="175"/>
        <v/>
      </c>
      <c r="IH40" s="701" t="str">
        <f t="shared" si="176"/>
        <v/>
      </c>
      <c r="II40" s="66">
        <f t="shared" si="177"/>
        <v>0</v>
      </c>
      <c r="IJ40" s="701" t="str">
        <f t="shared" si="178"/>
        <v/>
      </c>
      <c r="IK40" s="146" t="str">
        <f t="shared" si="179"/>
        <v/>
      </c>
      <c r="IL40" s="701" t="str">
        <f t="shared" si="180"/>
        <v/>
      </c>
      <c r="IM40" s="66">
        <f t="shared" si="181"/>
        <v>0</v>
      </c>
      <c r="IN40" s="701" t="str">
        <f t="shared" si="182"/>
        <v/>
      </c>
      <c r="IO40" s="146" t="str">
        <f t="shared" si="183"/>
        <v/>
      </c>
      <c r="IP40" s="701" t="str">
        <f t="shared" si="184"/>
        <v/>
      </c>
      <c r="IQ40" s="66">
        <f t="shared" si="185"/>
        <v>0</v>
      </c>
      <c r="IR40" s="701" t="str">
        <f t="shared" si="186"/>
        <v/>
      </c>
      <c r="IS40" s="146" t="str">
        <f t="shared" si="187"/>
        <v/>
      </c>
      <c r="IT40" s="701" t="str">
        <f t="shared" si="188"/>
        <v/>
      </c>
      <c r="IU40" s="66">
        <f t="shared" si="189"/>
        <v>0</v>
      </c>
      <c r="IV40" s="701" t="str">
        <f t="shared" si="190"/>
        <v/>
      </c>
      <c r="IW40" s="146" t="str">
        <f t="shared" si="191"/>
        <v/>
      </c>
      <c r="IX40" s="701" t="str">
        <f t="shared" si="192"/>
        <v/>
      </c>
      <c r="IY40" s="66">
        <f t="shared" si="193"/>
        <v>0</v>
      </c>
    </row>
    <row r="41" spans="1:259" s="3" customFormat="1" ht="18" customHeight="1" thickTop="1" thickBot="1" x14ac:dyDescent="0.35">
      <c r="A41" s="1468" t="str">
        <f t="shared" si="194"/>
        <v/>
      </c>
      <c r="B41" s="780" t="str">
        <f t="shared" si="6"/>
        <v/>
      </c>
      <c r="D41" s="525" t="str">
        <f t="shared" si="234"/>
        <v/>
      </c>
      <c r="E41" s="522" t="str">
        <f>IF(DO70="","",SUM($DO$54:DO70))</f>
        <v/>
      </c>
      <c r="F41" s="843"/>
      <c r="G41" s="844"/>
      <c r="H41" s="1231"/>
      <c r="I41" s="1228"/>
      <c r="J41" s="1229"/>
      <c r="K41" s="1230"/>
      <c r="L41" s="1270" t="str">
        <f>IF('Quadro 2'!G29="","",'Quadro 2'!G29)</f>
        <v/>
      </c>
      <c r="M41" s="1270" t="str">
        <f t="shared" si="195"/>
        <v/>
      </c>
      <c r="N41" s="1459" t="str">
        <f t="shared" si="196"/>
        <v/>
      </c>
      <c r="O41" s="1480" t="str">
        <f t="shared" si="197"/>
        <v/>
      </c>
      <c r="P41" s="1271" t="str">
        <f t="shared" si="198"/>
        <v/>
      </c>
      <c r="Q41" s="1489" t="str">
        <f t="shared" si="199"/>
        <v/>
      </c>
      <c r="R41" s="1426" t="str">
        <f t="shared" si="7"/>
        <v/>
      </c>
      <c r="S41" s="848" t="str">
        <f t="shared" si="241"/>
        <v/>
      </c>
      <c r="T41" s="58" t="str">
        <f t="shared" si="9"/>
        <v/>
      </c>
      <c r="U41" s="1133"/>
      <c r="V41" s="143" t="str">
        <f t="shared" si="200"/>
        <v/>
      </c>
      <c r="W41" s="849" t="str">
        <f>IF(OR(H41="",V41="",V41=0),"",IF($V41&gt;'Quadro 1'!$G$23,'Quadro 1'!$G$23,IF($V41&lt;'Quadro 1'!$G$10,'Quadro 1'!$G$10,MIN($X41,$Y41))))</f>
        <v/>
      </c>
      <c r="X41" s="850" t="str">
        <f>IF($V41&lt;='Quadro 1'!$G$10,'Quadro 1'!$G$10,IF($V41&lt;='Quadro 1'!$G$11,'Quadro 1'!$G$11,IF($V41&lt;='Quadro 1'!$G$12,'Quadro 1'!$G$12,IF($V41&lt;='Quadro 1'!$G$13,'Quadro 1'!$G$13,IF($V41&lt;='Quadro 1'!$G$14,'Quadro 1'!$G$14,IF($V41&lt;='Quadro 1'!$G$15,'Quadro 1'!$G$15,IF($V41&lt;='Quadro 1'!$G$16,'Quadro 1'!$G$16,"")))))))</f>
        <v/>
      </c>
      <c r="Y41" s="851" t="str">
        <f>IF(OR(V41="",V41=0),"",IF($V41&lt;='Quadro 1'!$G$17,'Quadro 1'!$G$17,IF($V41&lt;='Quadro 1'!$G$18,'Quadro 1'!$G$18,IF($V41&lt;='Quadro 1'!$G$19,'Quadro 1'!$G$19,IF($V41&lt;='Quadro 1'!$G$20,'Quadro 1'!$G$20,IF($V41&lt;='Quadro 1'!$G$21,'Quadro 1'!$G$21,IF($V41&lt;='Quadro 1'!$G$22,'Quadro 1'!$G$22,IF($V41&lt;='Quadro 1'!$G$23,'Quadro 1'!$G$23,'Quadro 1'!$G$23))))))))</f>
        <v/>
      </c>
      <c r="Z41" s="852" t="str">
        <f>IF(W41="","",LOOKUP(W41,'Quadro 1'!$G$9:$G$23,'Quadro 1'!$H$9:$H$23))</f>
        <v/>
      </c>
      <c r="AA41" s="1417" t="str">
        <f>IF(W41="","",LOOKUP(W41,'Quadro 1'!$G$9:$G$23,'Quadro 1'!$D$9:$D$23))</f>
        <v/>
      </c>
      <c r="AB41" s="853" t="str">
        <f>IF(W41="","",LOOKUP(W41,'Quadro 1'!$G$9:$G$23,'Quadro 1'!$E$9:$E$23))</f>
        <v/>
      </c>
      <c r="AC41" s="1272" t="str">
        <f t="shared" si="201"/>
        <v/>
      </c>
      <c r="AD41" s="1274" t="str">
        <f t="shared" si="240"/>
        <v/>
      </c>
      <c r="AE41" s="1392" t="str">
        <f t="shared" si="202"/>
        <v/>
      </c>
      <c r="AF41" s="1395" t="str">
        <f t="shared" si="203"/>
        <v/>
      </c>
      <c r="AG41" s="1396" t="str">
        <f t="shared" si="204"/>
        <v/>
      </c>
      <c r="AH41" s="1398" t="str">
        <f t="shared" si="11"/>
        <v/>
      </c>
      <c r="AI41" s="1490" t="str">
        <f t="shared" si="235"/>
        <v/>
      </c>
      <c r="AJ41" s="1502" t="str">
        <f t="shared" si="239"/>
        <v/>
      </c>
      <c r="AK41" s="1503"/>
      <c r="AL41" s="1503"/>
      <c r="AM41" s="1504"/>
      <c r="AN41" s="1275" t="str">
        <f t="shared" si="12"/>
        <v/>
      </c>
      <c r="AO41" s="1502" t="str">
        <f t="shared" si="13"/>
        <v/>
      </c>
      <c r="AP41" s="1507"/>
      <c r="AQ41" s="1504"/>
      <c r="AR41" s="847"/>
      <c r="AS41" s="1258">
        <f t="shared" si="206"/>
        <v>0</v>
      </c>
      <c r="AT41" s="1256">
        <f t="shared" si="207"/>
        <v>0</v>
      </c>
      <c r="AU41" s="1381">
        <f t="shared" ref="AU41:AU49" si="242">IF(AT146="",AU146,IF(OR(AT146&lt;&gt;0,AT146&lt;&gt;1),AT146,AU146))</f>
        <v>1</v>
      </c>
      <c r="AV41" s="157" t="str">
        <f t="shared" si="14"/>
        <v/>
      </c>
      <c r="AW41" s="87" t="str">
        <f t="shared" si="236"/>
        <v/>
      </c>
      <c r="AX41" s="87" t="str">
        <f t="shared" si="15"/>
        <v/>
      </c>
      <c r="AY41" s="1341" t="str">
        <f t="shared" si="209"/>
        <v/>
      </c>
      <c r="AZ41" s="701">
        <f t="shared" si="210"/>
        <v>1</v>
      </c>
      <c r="BA41" s="1338" t="str">
        <f t="shared" si="211"/>
        <v/>
      </c>
      <c r="BB41" s="1335" t="str">
        <f t="shared" si="212"/>
        <v/>
      </c>
      <c r="BC41" s="86" t="str">
        <f t="shared" si="213"/>
        <v/>
      </c>
      <c r="BD41" s="701">
        <f t="shared" si="214"/>
        <v>1</v>
      </c>
      <c r="BE41" s="1273" t="str">
        <f t="shared" si="215"/>
        <v/>
      </c>
      <c r="BF41" s="86" t="str">
        <f t="shared" si="16"/>
        <v/>
      </c>
      <c r="BG41" s="57" t="str">
        <f t="shared" si="17"/>
        <v/>
      </c>
      <c r="BH41" s="1329">
        <f t="shared" si="216"/>
        <v>0</v>
      </c>
      <c r="BI41" s="88">
        <f t="shared" si="217"/>
        <v>0</v>
      </c>
      <c r="BJ41" s="88" t="str">
        <f t="shared" si="18"/>
        <v/>
      </c>
      <c r="BK41" s="88" t="str">
        <f t="shared" si="19"/>
        <v/>
      </c>
      <c r="BL41" s="88" t="str">
        <f t="shared" si="20"/>
        <v/>
      </c>
      <c r="BM41" s="88" t="str">
        <f t="shared" si="21"/>
        <v/>
      </c>
      <c r="BN41" s="88" t="str">
        <f t="shared" si="22"/>
        <v/>
      </c>
      <c r="BO41" s="88" t="str">
        <f t="shared" si="23"/>
        <v/>
      </c>
      <c r="BP41" s="88" t="str">
        <f t="shared" si="24"/>
        <v/>
      </c>
      <c r="BQ41" s="88" t="str">
        <f t="shared" si="25"/>
        <v/>
      </c>
      <c r="BR41" s="88" t="str">
        <f t="shared" si="26"/>
        <v/>
      </c>
      <c r="BS41" s="88" t="str">
        <f t="shared" si="27"/>
        <v/>
      </c>
      <c r="BT41" s="88" t="str">
        <f t="shared" si="28"/>
        <v/>
      </c>
      <c r="BU41" s="88" t="str">
        <f t="shared" si="29"/>
        <v/>
      </c>
      <c r="BV41" s="88" t="str">
        <f t="shared" si="30"/>
        <v/>
      </c>
      <c r="BW41" s="88" t="str">
        <f t="shared" si="31"/>
        <v/>
      </c>
      <c r="BX41" s="88" t="str">
        <f t="shared" si="32"/>
        <v/>
      </c>
      <c r="BY41" s="88" t="str">
        <f t="shared" si="33"/>
        <v/>
      </c>
      <c r="BZ41" s="88" t="str">
        <f t="shared" si="34"/>
        <v/>
      </c>
      <c r="CA41" s="88" t="str">
        <f t="shared" si="35"/>
        <v/>
      </c>
      <c r="CB41" s="88" t="str">
        <f t="shared" si="36"/>
        <v/>
      </c>
      <c r="CC41" s="88" t="str">
        <f t="shared" si="37"/>
        <v/>
      </c>
      <c r="CD41" s="88" t="str">
        <f t="shared" si="38"/>
        <v/>
      </c>
      <c r="CE41" s="88" t="str">
        <f t="shared" si="39"/>
        <v/>
      </c>
      <c r="CF41" s="88" t="str">
        <f t="shared" si="40"/>
        <v/>
      </c>
      <c r="CG41" s="88" t="str">
        <f t="shared" si="41"/>
        <v/>
      </c>
      <c r="CH41" s="88" t="str">
        <f t="shared" si="42"/>
        <v/>
      </c>
      <c r="CI41" s="790" t="str">
        <f t="shared" si="43"/>
        <v>0</v>
      </c>
      <c r="CJ41" s="791">
        <f t="shared" si="44"/>
        <v>0</v>
      </c>
      <c r="CK41" s="784" t="str">
        <f t="shared" si="45"/>
        <v>NA</v>
      </c>
      <c r="CL41" s="784" t="str">
        <f t="shared" si="46"/>
        <v/>
      </c>
      <c r="CM41" s="784" t="str">
        <f t="shared" si="218"/>
        <v/>
      </c>
      <c r="CN41" s="790" t="str">
        <f t="shared" si="47"/>
        <v/>
      </c>
      <c r="CO41" s="790" t="str">
        <f t="shared" si="48"/>
        <v/>
      </c>
      <c r="CP41" s="784" t="str">
        <f t="shared" si="49"/>
        <v/>
      </c>
      <c r="CQ41" s="790" t="str">
        <f t="shared" si="50"/>
        <v/>
      </c>
      <c r="CR41" s="524">
        <f t="shared" si="51"/>
        <v>0</v>
      </c>
      <c r="CS41" s="257" t="str">
        <f t="shared" si="219"/>
        <v/>
      </c>
      <c r="CT41" s="496">
        <f t="shared" si="238"/>
        <v>155.1</v>
      </c>
      <c r="CU41" s="496">
        <f t="shared" si="237"/>
        <v>155.1</v>
      </c>
      <c r="CV41" s="496">
        <f t="shared" si="220"/>
        <v>155.1</v>
      </c>
      <c r="CW41" s="495" t="str">
        <f t="shared" si="52"/>
        <v/>
      </c>
      <c r="CX41" s="496" t="str">
        <f t="shared" si="53"/>
        <v/>
      </c>
      <c r="CY41" s="496" t="str">
        <f t="shared" si="221"/>
        <v/>
      </c>
      <c r="CZ41" s="1456">
        <f t="shared" si="222"/>
        <v>1</v>
      </c>
      <c r="DA41" s="157" t="str">
        <f t="shared" si="223"/>
        <v/>
      </c>
      <c r="DB41" s="213" t="str">
        <f t="shared" si="224"/>
        <v/>
      </c>
      <c r="DC41" s="213" t="str">
        <f t="shared" si="225"/>
        <v/>
      </c>
      <c r="DD41" s="157" t="str">
        <f t="shared" si="54"/>
        <v/>
      </c>
      <c r="DE41" s="157" t="str">
        <f t="shared" si="55"/>
        <v/>
      </c>
      <c r="DF41" s="157" t="str">
        <f t="shared" si="56"/>
        <v/>
      </c>
      <c r="DG41" s="157" t="str">
        <f t="shared" si="57"/>
        <v/>
      </c>
      <c r="DH41" s="157" t="str">
        <f t="shared" si="58"/>
        <v/>
      </c>
      <c r="DI41" s="157" t="str">
        <f t="shared" si="59"/>
        <v/>
      </c>
      <c r="DJ41" s="157" t="str">
        <f t="shared" si="60"/>
        <v/>
      </c>
      <c r="DK41" s="157" t="str">
        <f t="shared" si="61"/>
        <v/>
      </c>
      <c r="DL41" s="157" t="str">
        <f t="shared" si="62"/>
        <v/>
      </c>
      <c r="DM41" s="157" t="str">
        <f t="shared" si="63"/>
        <v/>
      </c>
      <c r="DN41" s="33">
        <v>17</v>
      </c>
      <c r="DO41" s="1466" t="str">
        <f t="shared" si="226"/>
        <v/>
      </c>
      <c r="DP41" s="1014" t="str">
        <f t="shared" si="64"/>
        <v/>
      </c>
      <c r="DQ41" s="1026" t="str">
        <f t="shared" si="227"/>
        <v/>
      </c>
      <c r="DR41" s="1026" t="str">
        <f t="shared" si="228"/>
        <v/>
      </c>
      <c r="DS41" s="93" t="str">
        <f t="shared" si="65"/>
        <v/>
      </c>
      <c r="DT41" s="213" t="str">
        <f t="shared" si="66"/>
        <v/>
      </c>
      <c r="DU41" s="144" t="str">
        <f t="shared" si="67"/>
        <v/>
      </c>
      <c r="DV41" s="144" t="str">
        <f t="shared" si="68"/>
        <v/>
      </c>
      <c r="DW41" s="144" t="str">
        <f t="shared" si="69"/>
        <v/>
      </c>
      <c r="DX41" s="144" t="str">
        <f t="shared" si="70"/>
        <v/>
      </c>
      <c r="DY41" s="144" t="str">
        <f t="shared" si="71"/>
        <v/>
      </c>
      <c r="DZ41" s="144" t="str">
        <f t="shared" si="72"/>
        <v/>
      </c>
      <c r="EA41" s="144" t="str">
        <f t="shared" si="73"/>
        <v/>
      </c>
      <c r="EB41" s="144" t="str">
        <f t="shared" si="74"/>
        <v/>
      </c>
      <c r="EC41" s="144" t="str">
        <f t="shared" si="75"/>
        <v/>
      </c>
      <c r="ED41" s="144" t="str">
        <f t="shared" si="76"/>
        <v/>
      </c>
      <c r="EE41" s="144" t="str">
        <f t="shared" si="77"/>
        <v/>
      </c>
      <c r="EF41" s="144" t="str">
        <f t="shared" si="78"/>
        <v/>
      </c>
      <c r="EG41" s="144" t="str">
        <f t="shared" si="79"/>
        <v/>
      </c>
      <c r="EH41" s="144" t="str">
        <f t="shared" si="80"/>
        <v/>
      </c>
      <c r="EI41" s="144" t="str">
        <f t="shared" si="81"/>
        <v/>
      </c>
      <c r="EJ41" s="144" t="str">
        <f t="shared" si="82"/>
        <v/>
      </c>
      <c r="EK41" s="144" t="str">
        <f t="shared" si="83"/>
        <v/>
      </c>
      <c r="EL41" s="144" t="str">
        <f t="shared" si="84"/>
        <v/>
      </c>
      <c r="EM41" s="144" t="str">
        <f t="shared" si="85"/>
        <v/>
      </c>
      <c r="EN41" s="719" t="str">
        <f t="shared" si="86"/>
        <v/>
      </c>
      <c r="EO41" s="719" t="str">
        <f t="shared" si="87"/>
        <v/>
      </c>
      <c r="EP41" s="719" t="str">
        <f t="shared" si="88"/>
        <v/>
      </c>
      <c r="EQ41" s="719" t="str">
        <f t="shared" si="89"/>
        <v/>
      </c>
      <c r="ER41" s="719" t="str">
        <f t="shared" si="90"/>
        <v/>
      </c>
      <c r="EU41" s="33">
        <v>17</v>
      </c>
      <c r="EV41" s="735" t="str">
        <f t="shared" si="91"/>
        <v>Crítico</v>
      </c>
      <c r="EW41" s="741">
        <f t="shared" si="92"/>
        <v>1</v>
      </c>
      <c r="EX41" s="121" t="str">
        <f t="shared" si="93"/>
        <v>Crítico</v>
      </c>
      <c r="EY41" s="124">
        <f t="shared" si="229"/>
        <v>1</v>
      </c>
      <c r="EZ41" s="121" t="str">
        <f t="shared" si="94"/>
        <v>Crítico</v>
      </c>
      <c r="FA41" s="122">
        <f t="shared" si="95"/>
        <v>1</v>
      </c>
      <c r="FB41" s="18">
        <f t="shared" si="96"/>
        <v>0</v>
      </c>
      <c r="FC41" s="254" t="str">
        <f t="shared" si="97"/>
        <v/>
      </c>
      <c r="FD41" s="76" t="str">
        <f t="shared" si="230"/>
        <v/>
      </c>
      <c r="FE41" s="18">
        <f t="shared" si="231"/>
        <v>0</v>
      </c>
      <c r="FF41" s="703">
        <f t="shared" si="98"/>
        <v>0</v>
      </c>
      <c r="FG41" s="702">
        <f t="shared" si="99"/>
        <v>0</v>
      </c>
      <c r="FH41" s="19">
        <f t="shared" si="232"/>
        <v>0</v>
      </c>
      <c r="FI41" s="238" t="str">
        <f t="shared" si="233"/>
        <v/>
      </c>
      <c r="FJ41" s="701" t="str">
        <f t="shared" si="100"/>
        <v/>
      </c>
      <c r="FK41" s="66">
        <f t="shared" si="101"/>
        <v>0</v>
      </c>
      <c r="FL41" s="701" t="str">
        <f t="shared" si="102"/>
        <v/>
      </c>
      <c r="FM41" s="146" t="str">
        <f t="shared" si="103"/>
        <v/>
      </c>
      <c r="FN41" s="701" t="str">
        <f t="shared" si="104"/>
        <v/>
      </c>
      <c r="FO41" s="66">
        <f t="shared" si="105"/>
        <v>0</v>
      </c>
      <c r="FP41" s="701" t="str">
        <f t="shared" si="106"/>
        <v/>
      </c>
      <c r="FQ41" s="146" t="str">
        <f t="shared" si="107"/>
        <v/>
      </c>
      <c r="FR41" s="701" t="str">
        <f t="shared" si="108"/>
        <v/>
      </c>
      <c r="FS41" s="66">
        <f t="shared" si="109"/>
        <v>0</v>
      </c>
      <c r="FT41" s="701" t="str">
        <f t="shared" si="110"/>
        <v/>
      </c>
      <c r="FU41" s="146" t="str">
        <f t="shared" si="111"/>
        <v/>
      </c>
      <c r="FV41" s="701" t="str">
        <f t="shared" si="112"/>
        <v/>
      </c>
      <c r="FW41" s="66">
        <f t="shared" si="113"/>
        <v>0</v>
      </c>
      <c r="FX41" s="701" t="str">
        <f t="shared" si="114"/>
        <v/>
      </c>
      <c r="FY41" s="146" t="str">
        <f t="shared" si="115"/>
        <v/>
      </c>
      <c r="FZ41" s="701" t="str">
        <f t="shared" si="116"/>
        <v/>
      </c>
      <c r="GA41" s="66">
        <f t="shared" si="117"/>
        <v>0</v>
      </c>
      <c r="GB41" s="701" t="str">
        <f t="shared" si="118"/>
        <v/>
      </c>
      <c r="GC41" s="146" t="str">
        <f t="shared" si="119"/>
        <v/>
      </c>
      <c r="GD41" s="701" t="str">
        <f t="shared" si="120"/>
        <v/>
      </c>
      <c r="GE41" s="66">
        <f t="shared" si="121"/>
        <v>0</v>
      </c>
      <c r="GF41" s="701" t="str">
        <f t="shared" si="122"/>
        <v/>
      </c>
      <c r="GG41" s="146" t="str">
        <f t="shared" si="123"/>
        <v/>
      </c>
      <c r="GH41" s="701" t="str">
        <f t="shared" si="124"/>
        <v/>
      </c>
      <c r="GI41" s="66">
        <f t="shared" si="125"/>
        <v>0</v>
      </c>
      <c r="GJ41" s="701" t="str">
        <f t="shared" si="126"/>
        <v/>
      </c>
      <c r="GK41" s="146" t="str">
        <f t="shared" si="127"/>
        <v/>
      </c>
      <c r="GL41" s="701" t="str">
        <f t="shared" si="128"/>
        <v/>
      </c>
      <c r="GM41" s="66">
        <f t="shared" si="129"/>
        <v>0</v>
      </c>
      <c r="GN41" s="701" t="str">
        <f t="shared" si="130"/>
        <v/>
      </c>
      <c r="GO41" s="146" t="str">
        <f t="shared" si="131"/>
        <v/>
      </c>
      <c r="GP41" s="701" t="str">
        <f t="shared" si="132"/>
        <v/>
      </c>
      <c r="GQ41" s="66">
        <f t="shared" si="133"/>
        <v>0</v>
      </c>
      <c r="GR41" s="701" t="str">
        <f t="shared" si="134"/>
        <v/>
      </c>
      <c r="GS41" s="146" t="str">
        <f t="shared" si="135"/>
        <v/>
      </c>
      <c r="GT41" s="701" t="str">
        <f t="shared" si="136"/>
        <v/>
      </c>
      <c r="GU41" s="66">
        <f t="shared" si="137"/>
        <v>0</v>
      </c>
      <c r="GV41" s="701" t="str">
        <f t="shared" si="138"/>
        <v/>
      </c>
      <c r="GW41" s="146" t="str">
        <f t="shared" si="139"/>
        <v/>
      </c>
      <c r="GX41" s="701" t="str">
        <f t="shared" si="140"/>
        <v/>
      </c>
      <c r="GY41" s="66">
        <f t="shared" si="141"/>
        <v>0</v>
      </c>
      <c r="GZ41" s="701" t="str">
        <f t="shared" si="142"/>
        <v/>
      </c>
      <c r="HA41" s="146" t="str">
        <f t="shared" si="143"/>
        <v/>
      </c>
      <c r="HB41" s="701" t="str">
        <f t="shared" si="144"/>
        <v/>
      </c>
      <c r="HC41" s="66">
        <f t="shared" si="145"/>
        <v>0</v>
      </c>
      <c r="HD41" s="701" t="str">
        <f t="shared" si="146"/>
        <v/>
      </c>
      <c r="HE41" s="146" t="str">
        <f t="shared" si="147"/>
        <v/>
      </c>
      <c r="HF41" s="701" t="str">
        <f t="shared" si="148"/>
        <v/>
      </c>
      <c r="HG41" s="66">
        <f t="shared" si="149"/>
        <v>0</v>
      </c>
      <c r="HH41" s="701" t="str">
        <f t="shared" si="150"/>
        <v/>
      </c>
      <c r="HI41" s="146" t="str">
        <f t="shared" si="151"/>
        <v/>
      </c>
      <c r="HJ41" s="701" t="str">
        <f t="shared" si="152"/>
        <v/>
      </c>
      <c r="HK41" s="66">
        <f t="shared" si="153"/>
        <v>0</v>
      </c>
      <c r="HL41" s="701" t="str">
        <f t="shared" si="154"/>
        <v/>
      </c>
      <c r="HM41" s="146" t="str">
        <f t="shared" si="155"/>
        <v/>
      </c>
      <c r="HN41" s="701" t="str">
        <f t="shared" si="156"/>
        <v/>
      </c>
      <c r="HO41" s="66">
        <f t="shared" si="157"/>
        <v>0</v>
      </c>
      <c r="HP41" s="701" t="str">
        <f t="shared" si="158"/>
        <v/>
      </c>
      <c r="HQ41" s="146" t="str">
        <f t="shared" si="159"/>
        <v/>
      </c>
      <c r="HR41" s="701" t="str">
        <f t="shared" si="160"/>
        <v/>
      </c>
      <c r="HS41" s="66">
        <f t="shared" si="161"/>
        <v>0</v>
      </c>
      <c r="HT41" s="701" t="str">
        <f t="shared" si="162"/>
        <v/>
      </c>
      <c r="HU41" s="146" t="str">
        <f t="shared" si="163"/>
        <v/>
      </c>
      <c r="HV41" s="701" t="str">
        <f t="shared" si="164"/>
        <v/>
      </c>
      <c r="HW41" s="66">
        <f t="shared" si="165"/>
        <v>0</v>
      </c>
      <c r="HX41" s="701" t="str">
        <f t="shared" si="166"/>
        <v/>
      </c>
      <c r="HY41" s="146" t="str">
        <f t="shared" si="167"/>
        <v/>
      </c>
      <c r="HZ41" s="701" t="str">
        <f t="shared" si="168"/>
        <v/>
      </c>
      <c r="IA41" s="66">
        <f t="shared" si="169"/>
        <v>0</v>
      </c>
      <c r="IB41" s="701" t="str">
        <f t="shared" si="170"/>
        <v/>
      </c>
      <c r="IC41" s="146" t="str">
        <f t="shared" si="171"/>
        <v/>
      </c>
      <c r="ID41" s="701" t="str">
        <f t="shared" si="172"/>
        <v/>
      </c>
      <c r="IE41" s="66">
        <f t="shared" si="173"/>
        <v>0</v>
      </c>
      <c r="IF41" s="701" t="str">
        <f t="shared" si="174"/>
        <v/>
      </c>
      <c r="IG41" s="146" t="str">
        <f t="shared" si="175"/>
        <v/>
      </c>
      <c r="IH41" s="701" t="str">
        <f t="shared" si="176"/>
        <v/>
      </c>
      <c r="II41" s="66">
        <f t="shared" si="177"/>
        <v>0</v>
      </c>
      <c r="IJ41" s="701" t="str">
        <f t="shared" si="178"/>
        <v/>
      </c>
      <c r="IK41" s="146" t="str">
        <f t="shared" si="179"/>
        <v/>
      </c>
      <c r="IL41" s="701" t="str">
        <f t="shared" si="180"/>
        <v/>
      </c>
      <c r="IM41" s="66">
        <f t="shared" si="181"/>
        <v>0</v>
      </c>
      <c r="IN41" s="701" t="str">
        <f t="shared" si="182"/>
        <v/>
      </c>
      <c r="IO41" s="146" t="str">
        <f t="shared" si="183"/>
        <v/>
      </c>
      <c r="IP41" s="701" t="str">
        <f t="shared" si="184"/>
        <v/>
      </c>
      <c r="IQ41" s="66">
        <f t="shared" si="185"/>
        <v>0</v>
      </c>
      <c r="IR41" s="701" t="str">
        <f t="shared" si="186"/>
        <v/>
      </c>
      <c r="IS41" s="146" t="str">
        <f t="shared" si="187"/>
        <v/>
      </c>
      <c r="IT41" s="701" t="str">
        <f t="shared" si="188"/>
        <v/>
      </c>
      <c r="IU41" s="66">
        <f t="shared" si="189"/>
        <v>0</v>
      </c>
      <c r="IV41" s="701" t="str">
        <f t="shared" si="190"/>
        <v/>
      </c>
      <c r="IW41" s="146" t="str">
        <f t="shared" si="191"/>
        <v/>
      </c>
      <c r="IX41" s="701" t="str">
        <f t="shared" si="192"/>
        <v/>
      </c>
      <c r="IY41" s="66">
        <f t="shared" si="193"/>
        <v>0</v>
      </c>
    </row>
    <row r="42" spans="1:259" s="3" customFormat="1" ht="18" customHeight="1" thickTop="1" thickBot="1" x14ac:dyDescent="0.35">
      <c r="A42" s="1468" t="str">
        <f t="shared" si="194"/>
        <v/>
      </c>
      <c r="B42" s="780" t="str">
        <f t="shared" si="6"/>
        <v/>
      </c>
      <c r="D42" s="525" t="str">
        <f t="shared" si="234"/>
        <v/>
      </c>
      <c r="E42" s="522" t="str">
        <f>IF(DO71="","",SUM($DO$54:DO71))</f>
        <v/>
      </c>
      <c r="F42" s="843"/>
      <c r="G42" s="844"/>
      <c r="H42" s="1231"/>
      <c r="I42" s="1228"/>
      <c r="J42" s="1229"/>
      <c r="K42" s="1230"/>
      <c r="L42" s="1270" t="str">
        <f>IF('Quadro 2'!G30="","",'Quadro 2'!G30)</f>
        <v/>
      </c>
      <c r="M42" s="1270" t="str">
        <f t="shared" si="195"/>
        <v/>
      </c>
      <c r="N42" s="1459" t="str">
        <f t="shared" si="196"/>
        <v/>
      </c>
      <c r="O42" s="1480" t="str">
        <f t="shared" si="197"/>
        <v/>
      </c>
      <c r="P42" s="1271" t="str">
        <f t="shared" si="198"/>
        <v/>
      </c>
      <c r="Q42" s="1489" t="str">
        <f t="shared" si="199"/>
        <v/>
      </c>
      <c r="R42" s="1426" t="str">
        <f t="shared" si="7"/>
        <v/>
      </c>
      <c r="S42" s="848" t="str">
        <f t="shared" si="241"/>
        <v/>
      </c>
      <c r="T42" s="58" t="str">
        <f t="shared" si="9"/>
        <v/>
      </c>
      <c r="U42" s="1133"/>
      <c r="V42" s="143" t="str">
        <f t="shared" si="200"/>
        <v/>
      </c>
      <c r="W42" s="849" t="str">
        <f>IF(OR(H42="",V42="",V42=0),"",IF($V42&gt;'Quadro 1'!$G$23,'Quadro 1'!$G$23,IF($V42&lt;'Quadro 1'!$G$10,'Quadro 1'!$G$10,MIN($X42,$Y42))))</f>
        <v/>
      </c>
      <c r="X42" s="850" t="str">
        <f>IF($V42&lt;='Quadro 1'!$G$10,'Quadro 1'!$G$10,IF($V42&lt;='Quadro 1'!$G$11,'Quadro 1'!$G$11,IF($V42&lt;='Quadro 1'!$G$12,'Quadro 1'!$G$12,IF($V42&lt;='Quadro 1'!$G$13,'Quadro 1'!$G$13,IF($V42&lt;='Quadro 1'!$G$14,'Quadro 1'!$G$14,IF($V42&lt;='Quadro 1'!$G$15,'Quadro 1'!$G$15,IF($V42&lt;='Quadro 1'!$G$16,'Quadro 1'!$G$16,"")))))))</f>
        <v/>
      </c>
      <c r="Y42" s="851" t="str">
        <f>IF(OR(V42="",V42=0),"",IF($V42&lt;='Quadro 1'!$G$17,'Quadro 1'!$G$17,IF($V42&lt;='Quadro 1'!$G$18,'Quadro 1'!$G$18,IF($V42&lt;='Quadro 1'!$G$19,'Quadro 1'!$G$19,IF($V42&lt;='Quadro 1'!$G$20,'Quadro 1'!$G$20,IF($V42&lt;='Quadro 1'!$G$21,'Quadro 1'!$G$21,IF($V42&lt;='Quadro 1'!$G$22,'Quadro 1'!$G$22,IF($V42&lt;='Quadro 1'!$G$23,'Quadro 1'!$G$23,'Quadro 1'!$G$23))))))))</f>
        <v/>
      </c>
      <c r="Z42" s="852" t="str">
        <f>IF(W42="","",LOOKUP(W42,'Quadro 1'!$G$9:$G$23,'Quadro 1'!$H$9:$H$23))</f>
        <v/>
      </c>
      <c r="AA42" s="1417" t="str">
        <f>IF(W42="","",LOOKUP(W42,'Quadro 1'!$G$9:$G$23,'Quadro 1'!$D$9:$D$23))</f>
        <v/>
      </c>
      <c r="AB42" s="853" t="str">
        <f>IF(W42="","",LOOKUP(W42,'Quadro 1'!$G$9:$G$23,'Quadro 1'!$E$9:$E$23))</f>
        <v/>
      </c>
      <c r="AC42" s="1272" t="str">
        <f t="shared" si="201"/>
        <v/>
      </c>
      <c r="AD42" s="1274" t="str">
        <f t="shared" si="240"/>
        <v/>
      </c>
      <c r="AE42" s="1392" t="str">
        <f t="shared" si="202"/>
        <v/>
      </c>
      <c r="AF42" s="1395" t="str">
        <f t="shared" si="203"/>
        <v/>
      </c>
      <c r="AG42" s="1396" t="str">
        <f t="shared" si="204"/>
        <v/>
      </c>
      <c r="AH42" s="1398" t="str">
        <f t="shared" si="11"/>
        <v/>
      </c>
      <c r="AI42" s="1490" t="str">
        <f t="shared" si="235"/>
        <v/>
      </c>
      <c r="AJ42" s="1502" t="str">
        <f t="shared" si="239"/>
        <v/>
      </c>
      <c r="AK42" s="1503"/>
      <c r="AL42" s="1503"/>
      <c r="AM42" s="1504"/>
      <c r="AN42" s="1275" t="str">
        <f t="shared" si="12"/>
        <v/>
      </c>
      <c r="AO42" s="1502" t="str">
        <f t="shared" si="13"/>
        <v/>
      </c>
      <c r="AP42" s="1507"/>
      <c r="AQ42" s="1504"/>
      <c r="AR42" s="847"/>
      <c r="AS42" s="1258">
        <f t="shared" si="206"/>
        <v>0</v>
      </c>
      <c r="AT42" s="1256">
        <f t="shared" si="207"/>
        <v>0</v>
      </c>
      <c r="AU42" s="1381">
        <f t="shared" si="242"/>
        <v>1</v>
      </c>
      <c r="AV42" s="157" t="str">
        <f t="shared" si="14"/>
        <v/>
      </c>
      <c r="AW42" s="87" t="str">
        <f t="shared" si="236"/>
        <v/>
      </c>
      <c r="AX42" s="87" t="str">
        <f t="shared" si="15"/>
        <v/>
      </c>
      <c r="AY42" s="1341" t="str">
        <f t="shared" si="209"/>
        <v/>
      </c>
      <c r="AZ42" s="701">
        <f t="shared" si="210"/>
        <v>1</v>
      </c>
      <c r="BA42" s="1338" t="str">
        <f t="shared" si="211"/>
        <v/>
      </c>
      <c r="BB42" s="1335" t="str">
        <f t="shared" si="212"/>
        <v/>
      </c>
      <c r="BC42" s="86" t="str">
        <f t="shared" si="213"/>
        <v/>
      </c>
      <c r="BD42" s="701">
        <f t="shared" si="214"/>
        <v>1</v>
      </c>
      <c r="BE42" s="1273" t="str">
        <f t="shared" si="215"/>
        <v/>
      </c>
      <c r="BF42" s="86" t="str">
        <f t="shared" si="16"/>
        <v/>
      </c>
      <c r="BG42" s="57" t="str">
        <f t="shared" si="17"/>
        <v/>
      </c>
      <c r="BH42" s="1329">
        <f t="shared" si="216"/>
        <v>0</v>
      </c>
      <c r="BI42" s="88">
        <f t="shared" si="217"/>
        <v>0</v>
      </c>
      <c r="BJ42" s="88" t="str">
        <f t="shared" si="18"/>
        <v/>
      </c>
      <c r="BK42" s="88" t="str">
        <f t="shared" si="19"/>
        <v/>
      </c>
      <c r="BL42" s="88" t="str">
        <f t="shared" si="20"/>
        <v/>
      </c>
      <c r="BM42" s="88" t="str">
        <f t="shared" si="21"/>
        <v/>
      </c>
      <c r="BN42" s="88" t="str">
        <f t="shared" si="22"/>
        <v/>
      </c>
      <c r="BO42" s="88" t="str">
        <f t="shared" si="23"/>
        <v/>
      </c>
      <c r="BP42" s="88" t="str">
        <f t="shared" si="24"/>
        <v/>
      </c>
      <c r="BQ42" s="88" t="str">
        <f t="shared" si="25"/>
        <v/>
      </c>
      <c r="BR42" s="88" t="str">
        <f t="shared" si="26"/>
        <v/>
      </c>
      <c r="BS42" s="88" t="str">
        <f t="shared" si="27"/>
        <v/>
      </c>
      <c r="BT42" s="88" t="str">
        <f t="shared" si="28"/>
        <v/>
      </c>
      <c r="BU42" s="88" t="str">
        <f t="shared" si="29"/>
        <v/>
      </c>
      <c r="BV42" s="88" t="str">
        <f t="shared" si="30"/>
        <v/>
      </c>
      <c r="BW42" s="88" t="str">
        <f t="shared" si="31"/>
        <v/>
      </c>
      <c r="BX42" s="88" t="str">
        <f t="shared" si="32"/>
        <v/>
      </c>
      <c r="BY42" s="88" t="str">
        <f t="shared" si="33"/>
        <v/>
      </c>
      <c r="BZ42" s="88" t="str">
        <f t="shared" si="34"/>
        <v/>
      </c>
      <c r="CA42" s="88" t="str">
        <f t="shared" si="35"/>
        <v/>
      </c>
      <c r="CB42" s="88" t="str">
        <f t="shared" si="36"/>
        <v/>
      </c>
      <c r="CC42" s="88" t="str">
        <f t="shared" si="37"/>
        <v/>
      </c>
      <c r="CD42" s="88" t="str">
        <f t="shared" si="38"/>
        <v/>
      </c>
      <c r="CE42" s="88" t="str">
        <f t="shared" si="39"/>
        <v/>
      </c>
      <c r="CF42" s="88" t="str">
        <f t="shared" si="40"/>
        <v/>
      </c>
      <c r="CG42" s="88" t="str">
        <f t="shared" si="41"/>
        <v/>
      </c>
      <c r="CH42" s="88" t="str">
        <f t="shared" si="42"/>
        <v/>
      </c>
      <c r="CI42" s="790" t="str">
        <f t="shared" si="43"/>
        <v>0</v>
      </c>
      <c r="CJ42" s="791">
        <f t="shared" si="44"/>
        <v>0</v>
      </c>
      <c r="CK42" s="784" t="str">
        <f t="shared" si="45"/>
        <v>NA</v>
      </c>
      <c r="CL42" s="784" t="str">
        <f t="shared" si="46"/>
        <v/>
      </c>
      <c r="CM42" s="784" t="str">
        <f t="shared" si="218"/>
        <v/>
      </c>
      <c r="CN42" s="790" t="str">
        <f t="shared" si="47"/>
        <v/>
      </c>
      <c r="CO42" s="790" t="str">
        <f t="shared" si="48"/>
        <v/>
      </c>
      <c r="CP42" s="784" t="str">
        <f t="shared" si="49"/>
        <v/>
      </c>
      <c r="CQ42" s="790" t="str">
        <f t="shared" si="50"/>
        <v/>
      </c>
      <c r="CR42" s="524">
        <f t="shared" si="51"/>
        <v>0</v>
      </c>
      <c r="CS42" s="257" t="str">
        <f t="shared" si="219"/>
        <v/>
      </c>
      <c r="CT42" s="496">
        <f t="shared" si="238"/>
        <v>155.1</v>
      </c>
      <c r="CU42" s="496">
        <f t="shared" si="237"/>
        <v>155.1</v>
      </c>
      <c r="CV42" s="496">
        <f t="shared" si="220"/>
        <v>155.1</v>
      </c>
      <c r="CW42" s="495" t="str">
        <f t="shared" si="52"/>
        <v/>
      </c>
      <c r="CX42" s="496" t="str">
        <f t="shared" si="53"/>
        <v/>
      </c>
      <c r="CY42" s="496" t="str">
        <f t="shared" si="221"/>
        <v/>
      </c>
      <c r="CZ42" s="1456">
        <f t="shared" si="222"/>
        <v>1</v>
      </c>
      <c r="DA42" s="157" t="str">
        <f t="shared" si="223"/>
        <v/>
      </c>
      <c r="DB42" s="213" t="str">
        <f t="shared" si="224"/>
        <v/>
      </c>
      <c r="DC42" s="213" t="str">
        <f t="shared" si="225"/>
        <v/>
      </c>
      <c r="DD42" s="157" t="str">
        <f t="shared" si="54"/>
        <v/>
      </c>
      <c r="DE42" s="157" t="str">
        <f t="shared" si="55"/>
        <v/>
      </c>
      <c r="DF42" s="157" t="str">
        <f t="shared" si="56"/>
        <v/>
      </c>
      <c r="DG42" s="157" t="str">
        <f t="shared" si="57"/>
        <v/>
      </c>
      <c r="DH42" s="157" t="str">
        <f t="shared" si="58"/>
        <v/>
      </c>
      <c r="DI42" s="157" t="str">
        <f t="shared" si="59"/>
        <v/>
      </c>
      <c r="DJ42" s="157" t="str">
        <f t="shared" si="60"/>
        <v/>
      </c>
      <c r="DK42" s="157" t="str">
        <f t="shared" si="61"/>
        <v/>
      </c>
      <c r="DL42" s="157" t="str">
        <f t="shared" si="62"/>
        <v/>
      </c>
      <c r="DM42" s="157" t="str">
        <f t="shared" si="63"/>
        <v/>
      </c>
      <c r="DN42" s="33">
        <v>18</v>
      </c>
      <c r="DO42" s="1466" t="str">
        <f t="shared" si="226"/>
        <v/>
      </c>
      <c r="DP42" s="1014" t="str">
        <f t="shared" si="64"/>
        <v/>
      </c>
      <c r="DQ42" s="1026" t="str">
        <f t="shared" si="227"/>
        <v/>
      </c>
      <c r="DR42" s="1026" t="str">
        <f t="shared" si="228"/>
        <v/>
      </c>
      <c r="DS42" s="93" t="str">
        <f t="shared" si="65"/>
        <v/>
      </c>
      <c r="DT42" s="213" t="str">
        <f t="shared" si="66"/>
        <v/>
      </c>
      <c r="DU42" s="144" t="str">
        <f t="shared" si="67"/>
        <v/>
      </c>
      <c r="DV42" s="144" t="str">
        <f t="shared" si="68"/>
        <v/>
      </c>
      <c r="DW42" s="144" t="str">
        <f t="shared" si="69"/>
        <v/>
      </c>
      <c r="DX42" s="144" t="str">
        <f t="shared" si="70"/>
        <v/>
      </c>
      <c r="DY42" s="144" t="str">
        <f t="shared" si="71"/>
        <v/>
      </c>
      <c r="DZ42" s="144" t="str">
        <f t="shared" si="72"/>
        <v/>
      </c>
      <c r="EA42" s="144" t="str">
        <f t="shared" si="73"/>
        <v/>
      </c>
      <c r="EB42" s="144" t="str">
        <f t="shared" si="74"/>
        <v/>
      </c>
      <c r="EC42" s="144" t="str">
        <f t="shared" si="75"/>
        <v/>
      </c>
      <c r="ED42" s="144" t="str">
        <f t="shared" si="76"/>
        <v/>
      </c>
      <c r="EE42" s="144" t="str">
        <f t="shared" si="77"/>
        <v/>
      </c>
      <c r="EF42" s="144" t="str">
        <f t="shared" si="78"/>
        <v/>
      </c>
      <c r="EG42" s="144" t="str">
        <f t="shared" si="79"/>
        <v/>
      </c>
      <c r="EH42" s="144" t="str">
        <f t="shared" si="80"/>
        <v/>
      </c>
      <c r="EI42" s="144" t="str">
        <f t="shared" si="81"/>
        <v/>
      </c>
      <c r="EJ42" s="144" t="str">
        <f t="shared" si="82"/>
        <v/>
      </c>
      <c r="EK42" s="144" t="str">
        <f t="shared" si="83"/>
        <v/>
      </c>
      <c r="EL42" s="144" t="str">
        <f t="shared" si="84"/>
        <v/>
      </c>
      <c r="EM42" s="144" t="str">
        <f t="shared" si="85"/>
        <v/>
      </c>
      <c r="EN42" s="719" t="str">
        <f t="shared" si="86"/>
        <v/>
      </c>
      <c r="EO42" s="719" t="str">
        <f t="shared" si="87"/>
        <v/>
      </c>
      <c r="EP42" s="719" t="str">
        <f t="shared" si="88"/>
        <v/>
      </c>
      <c r="EQ42" s="719" t="str">
        <f t="shared" si="89"/>
        <v/>
      </c>
      <c r="ER42" s="719" t="str">
        <f t="shared" si="90"/>
        <v/>
      </c>
      <c r="EU42" s="33">
        <v>18</v>
      </c>
      <c r="EV42" s="735" t="str">
        <f t="shared" si="91"/>
        <v>Crítico</v>
      </c>
      <c r="EW42" s="741">
        <f t="shared" si="92"/>
        <v>1</v>
      </c>
      <c r="EX42" s="121" t="str">
        <f t="shared" si="93"/>
        <v>Crítico</v>
      </c>
      <c r="EY42" s="124">
        <f t="shared" si="229"/>
        <v>1</v>
      </c>
      <c r="EZ42" s="121" t="str">
        <f t="shared" si="94"/>
        <v>Crítico</v>
      </c>
      <c r="FA42" s="122">
        <f t="shared" si="95"/>
        <v>1</v>
      </c>
      <c r="FB42" s="18">
        <f t="shared" si="96"/>
        <v>0</v>
      </c>
      <c r="FC42" s="254" t="str">
        <f t="shared" si="97"/>
        <v/>
      </c>
      <c r="FD42" s="76" t="str">
        <f t="shared" si="230"/>
        <v/>
      </c>
      <c r="FE42" s="18">
        <f t="shared" si="231"/>
        <v>0</v>
      </c>
      <c r="FF42" s="703">
        <f t="shared" si="98"/>
        <v>0</v>
      </c>
      <c r="FG42" s="702">
        <f t="shared" si="99"/>
        <v>0</v>
      </c>
      <c r="FH42" s="19">
        <f t="shared" si="232"/>
        <v>0</v>
      </c>
      <c r="FI42" s="238" t="str">
        <f t="shared" si="233"/>
        <v/>
      </c>
      <c r="FJ42" s="701" t="str">
        <f t="shared" si="100"/>
        <v/>
      </c>
      <c r="FK42" s="66">
        <f t="shared" si="101"/>
        <v>0</v>
      </c>
      <c r="FL42" s="701" t="str">
        <f t="shared" si="102"/>
        <v/>
      </c>
      <c r="FM42" s="146" t="str">
        <f t="shared" si="103"/>
        <v/>
      </c>
      <c r="FN42" s="701" t="str">
        <f t="shared" si="104"/>
        <v/>
      </c>
      <c r="FO42" s="66">
        <f t="shared" si="105"/>
        <v>0</v>
      </c>
      <c r="FP42" s="701" t="str">
        <f t="shared" si="106"/>
        <v/>
      </c>
      <c r="FQ42" s="146" t="str">
        <f t="shared" si="107"/>
        <v/>
      </c>
      <c r="FR42" s="701" t="str">
        <f t="shared" si="108"/>
        <v/>
      </c>
      <c r="FS42" s="66">
        <f t="shared" si="109"/>
        <v>0</v>
      </c>
      <c r="FT42" s="701" t="str">
        <f t="shared" si="110"/>
        <v/>
      </c>
      <c r="FU42" s="146" t="str">
        <f t="shared" si="111"/>
        <v/>
      </c>
      <c r="FV42" s="701" t="str">
        <f t="shared" si="112"/>
        <v/>
      </c>
      <c r="FW42" s="66">
        <f t="shared" si="113"/>
        <v>0</v>
      </c>
      <c r="FX42" s="701" t="str">
        <f t="shared" si="114"/>
        <v/>
      </c>
      <c r="FY42" s="146" t="str">
        <f t="shared" si="115"/>
        <v/>
      </c>
      <c r="FZ42" s="701" t="str">
        <f t="shared" si="116"/>
        <v/>
      </c>
      <c r="GA42" s="66">
        <f t="shared" si="117"/>
        <v>0</v>
      </c>
      <c r="GB42" s="701" t="str">
        <f t="shared" si="118"/>
        <v/>
      </c>
      <c r="GC42" s="146" t="str">
        <f t="shared" si="119"/>
        <v/>
      </c>
      <c r="GD42" s="701" t="str">
        <f t="shared" si="120"/>
        <v/>
      </c>
      <c r="GE42" s="66">
        <f t="shared" si="121"/>
        <v>0</v>
      </c>
      <c r="GF42" s="701" t="str">
        <f t="shared" si="122"/>
        <v/>
      </c>
      <c r="GG42" s="146" t="str">
        <f t="shared" si="123"/>
        <v/>
      </c>
      <c r="GH42" s="701" t="str">
        <f t="shared" si="124"/>
        <v/>
      </c>
      <c r="GI42" s="66">
        <f t="shared" si="125"/>
        <v>0</v>
      </c>
      <c r="GJ42" s="701" t="str">
        <f t="shared" si="126"/>
        <v/>
      </c>
      <c r="GK42" s="146" t="str">
        <f t="shared" si="127"/>
        <v/>
      </c>
      <c r="GL42" s="701" t="str">
        <f t="shared" si="128"/>
        <v/>
      </c>
      <c r="GM42" s="66">
        <f t="shared" si="129"/>
        <v>0</v>
      </c>
      <c r="GN42" s="701" t="str">
        <f t="shared" si="130"/>
        <v/>
      </c>
      <c r="GO42" s="146" t="str">
        <f t="shared" si="131"/>
        <v/>
      </c>
      <c r="GP42" s="701" t="str">
        <f t="shared" si="132"/>
        <v/>
      </c>
      <c r="GQ42" s="66">
        <f t="shared" si="133"/>
        <v>0</v>
      </c>
      <c r="GR42" s="701" t="str">
        <f t="shared" si="134"/>
        <v/>
      </c>
      <c r="GS42" s="146" t="str">
        <f t="shared" si="135"/>
        <v/>
      </c>
      <c r="GT42" s="701" t="str">
        <f t="shared" si="136"/>
        <v/>
      </c>
      <c r="GU42" s="66">
        <f t="shared" si="137"/>
        <v>0</v>
      </c>
      <c r="GV42" s="701" t="str">
        <f t="shared" si="138"/>
        <v/>
      </c>
      <c r="GW42" s="146" t="str">
        <f t="shared" si="139"/>
        <v/>
      </c>
      <c r="GX42" s="701" t="str">
        <f t="shared" si="140"/>
        <v/>
      </c>
      <c r="GY42" s="66">
        <f t="shared" si="141"/>
        <v>0</v>
      </c>
      <c r="GZ42" s="701" t="str">
        <f t="shared" si="142"/>
        <v/>
      </c>
      <c r="HA42" s="146" t="str">
        <f t="shared" si="143"/>
        <v/>
      </c>
      <c r="HB42" s="701" t="str">
        <f t="shared" si="144"/>
        <v/>
      </c>
      <c r="HC42" s="66">
        <f t="shared" si="145"/>
        <v>0</v>
      </c>
      <c r="HD42" s="701" t="str">
        <f t="shared" si="146"/>
        <v/>
      </c>
      <c r="HE42" s="146" t="str">
        <f t="shared" si="147"/>
        <v/>
      </c>
      <c r="HF42" s="701" t="str">
        <f t="shared" si="148"/>
        <v/>
      </c>
      <c r="HG42" s="66">
        <f t="shared" si="149"/>
        <v>0</v>
      </c>
      <c r="HH42" s="701" t="str">
        <f t="shared" si="150"/>
        <v/>
      </c>
      <c r="HI42" s="146" t="str">
        <f t="shared" si="151"/>
        <v/>
      </c>
      <c r="HJ42" s="701" t="str">
        <f t="shared" si="152"/>
        <v/>
      </c>
      <c r="HK42" s="66">
        <f t="shared" si="153"/>
        <v>0</v>
      </c>
      <c r="HL42" s="701" t="str">
        <f t="shared" si="154"/>
        <v/>
      </c>
      <c r="HM42" s="146" t="str">
        <f t="shared" si="155"/>
        <v/>
      </c>
      <c r="HN42" s="701" t="str">
        <f t="shared" si="156"/>
        <v/>
      </c>
      <c r="HO42" s="66">
        <f t="shared" si="157"/>
        <v>0</v>
      </c>
      <c r="HP42" s="701" t="str">
        <f t="shared" si="158"/>
        <v/>
      </c>
      <c r="HQ42" s="146" t="str">
        <f t="shared" si="159"/>
        <v/>
      </c>
      <c r="HR42" s="701" t="str">
        <f t="shared" si="160"/>
        <v/>
      </c>
      <c r="HS42" s="66">
        <f t="shared" si="161"/>
        <v>0</v>
      </c>
      <c r="HT42" s="701" t="str">
        <f t="shared" si="162"/>
        <v/>
      </c>
      <c r="HU42" s="146" t="str">
        <f t="shared" si="163"/>
        <v/>
      </c>
      <c r="HV42" s="701" t="str">
        <f t="shared" si="164"/>
        <v/>
      </c>
      <c r="HW42" s="66">
        <f t="shared" si="165"/>
        <v>0</v>
      </c>
      <c r="HX42" s="701" t="str">
        <f t="shared" si="166"/>
        <v/>
      </c>
      <c r="HY42" s="146" t="str">
        <f t="shared" si="167"/>
        <v/>
      </c>
      <c r="HZ42" s="701" t="str">
        <f t="shared" si="168"/>
        <v/>
      </c>
      <c r="IA42" s="66">
        <f t="shared" si="169"/>
        <v>0</v>
      </c>
      <c r="IB42" s="701" t="str">
        <f t="shared" si="170"/>
        <v/>
      </c>
      <c r="IC42" s="146" t="str">
        <f t="shared" si="171"/>
        <v/>
      </c>
      <c r="ID42" s="701" t="str">
        <f t="shared" si="172"/>
        <v/>
      </c>
      <c r="IE42" s="66">
        <f t="shared" si="173"/>
        <v>0</v>
      </c>
      <c r="IF42" s="701" t="str">
        <f t="shared" si="174"/>
        <v/>
      </c>
      <c r="IG42" s="146" t="str">
        <f t="shared" si="175"/>
        <v/>
      </c>
      <c r="IH42" s="701" t="str">
        <f t="shared" si="176"/>
        <v/>
      </c>
      <c r="II42" s="66">
        <f t="shared" si="177"/>
        <v>0</v>
      </c>
      <c r="IJ42" s="701" t="str">
        <f t="shared" si="178"/>
        <v/>
      </c>
      <c r="IK42" s="146" t="str">
        <f t="shared" si="179"/>
        <v/>
      </c>
      <c r="IL42" s="701" t="str">
        <f t="shared" si="180"/>
        <v/>
      </c>
      <c r="IM42" s="66">
        <f t="shared" si="181"/>
        <v>0</v>
      </c>
      <c r="IN42" s="701" t="str">
        <f t="shared" si="182"/>
        <v/>
      </c>
      <c r="IO42" s="146" t="str">
        <f t="shared" si="183"/>
        <v/>
      </c>
      <c r="IP42" s="701" t="str">
        <f t="shared" si="184"/>
        <v/>
      </c>
      <c r="IQ42" s="66">
        <f t="shared" si="185"/>
        <v>0</v>
      </c>
      <c r="IR42" s="701" t="str">
        <f t="shared" si="186"/>
        <v/>
      </c>
      <c r="IS42" s="146" t="str">
        <f t="shared" si="187"/>
        <v/>
      </c>
      <c r="IT42" s="701" t="str">
        <f t="shared" si="188"/>
        <v/>
      </c>
      <c r="IU42" s="66">
        <f t="shared" si="189"/>
        <v>0</v>
      </c>
      <c r="IV42" s="701" t="str">
        <f t="shared" si="190"/>
        <v/>
      </c>
      <c r="IW42" s="146" t="str">
        <f t="shared" si="191"/>
        <v/>
      </c>
      <c r="IX42" s="701" t="str">
        <f t="shared" si="192"/>
        <v/>
      </c>
      <c r="IY42" s="66">
        <f t="shared" si="193"/>
        <v>0</v>
      </c>
    </row>
    <row r="43" spans="1:259" s="3" customFormat="1" ht="18" customHeight="1" thickTop="1" thickBot="1" x14ac:dyDescent="0.35">
      <c r="A43" s="1468" t="str">
        <f t="shared" si="194"/>
        <v/>
      </c>
      <c r="B43" s="780" t="str">
        <f t="shared" si="6"/>
        <v/>
      </c>
      <c r="D43" s="525" t="str">
        <f t="shared" si="234"/>
        <v/>
      </c>
      <c r="E43" s="522" t="str">
        <f>IF(DO72="","",SUM($DO$54:DO72))</f>
        <v/>
      </c>
      <c r="F43" s="843"/>
      <c r="G43" s="844"/>
      <c r="H43" s="1231"/>
      <c r="I43" s="1228"/>
      <c r="J43" s="1229"/>
      <c r="K43" s="1230"/>
      <c r="L43" s="1270" t="str">
        <f>IF('Quadro 2'!G31="","",'Quadro 2'!G31)</f>
        <v/>
      </c>
      <c r="M43" s="1270" t="str">
        <f t="shared" si="195"/>
        <v/>
      </c>
      <c r="N43" s="1459" t="str">
        <f t="shared" si="196"/>
        <v/>
      </c>
      <c r="O43" s="1480" t="str">
        <f t="shared" si="197"/>
        <v/>
      </c>
      <c r="P43" s="1271" t="str">
        <f t="shared" si="198"/>
        <v/>
      </c>
      <c r="Q43" s="1489" t="str">
        <f t="shared" si="199"/>
        <v/>
      </c>
      <c r="R43" s="1426" t="str">
        <f t="shared" si="7"/>
        <v/>
      </c>
      <c r="S43" s="848" t="str">
        <f t="shared" si="241"/>
        <v/>
      </c>
      <c r="T43" s="58" t="str">
        <f t="shared" si="9"/>
        <v/>
      </c>
      <c r="U43" s="1133"/>
      <c r="V43" s="143" t="str">
        <f t="shared" si="200"/>
        <v/>
      </c>
      <c r="W43" s="849" t="str">
        <f>IF(OR(H43="",V43="",V43=0),"",IF($V43&gt;'Quadro 1'!$G$23,'Quadro 1'!$G$23,IF($V43&lt;'Quadro 1'!$G$10,'Quadro 1'!$G$10,MIN($X43,$Y43))))</f>
        <v/>
      </c>
      <c r="X43" s="850" t="str">
        <f>IF($V43&lt;='Quadro 1'!$G$10,'Quadro 1'!$G$10,IF($V43&lt;='Quadro 1'!$G$11,'Quadro 1'!$G$11,IF($V43&lt;='Quadro 1'!$G$12,'Quadro 1'!$G$12,IF($V43&lt;='Quadro 1'!$G$13,'Quadro 1'!$G$13,IF($V43&lt;='Quadro 1'!$G$14,'Quadro 1'!$G$14,IF($V43&lt;='Quadro 1'!$G$15,'Quadro 1'!$G$15,IF($V43&lt;='Quadro 1'!$G$16,'Quadro 1'!$G$16,"")))))))</f>
        <v/>
      </c>
      <c r="Y43" s="851" t="str">
        <f>IF(OR(V43="",V43=0),"",IF($V43&lt;='Quadro 1'!$G$17,'Quadro 1'!$G$17,IF($V43&lt;='Quadro 1'!$G$18,'Quadro 1'!$G$18,IF($V43&lt;='Quadro 1'!$G$19,'Quadro 1'!$G$19,IF($V43&lt;='Quadro 1'!$G$20,'Quadro 1'!$G$20,IF($V43&lt;='Quadro 1'!$G$21,'Quadro 1'!$G$21,IF($V43&lt;='Quadro 1'!$G$22,'Quadro 1'!$G$22,IF($V43&lt;='Quadro 1'!$G$23,'Quadro 1'!$G$23,'Quadro 1'!$G$23))))))))</f>
        <v/>
      </c>
      <c r="Z43" s="852" t="str">
        <f>IF(W43="","",LOOKUP(W43,'Quadro 1'!$G$9:$G$23,'Quadro 1'!$H$9:$H$23))</f>
        <v/>
      </c>
      <c r="AA43" s="1417" t="str">
        <f>IF(W43="","",LOOKUP(W43,'Quadro 1'!$G$9:$G$23,'Quadro 1'!$D$9:$D$23))</f>
        <v/>
      </c>
      <c r="AB43" s="853" t="str">
        <f>IF(W43="","",LOOKUP(W43,'Quadro 1'!$G$9:$G$23,'Quadro 1'!$E$9:$E$23))</f>
        <v/>
      </c>
      <c r="AC43" s="1272" t="str">
        <f t="shared" si="201"/>
        <v/>
      </c>
      <c r="AD43" s="1274" t="str">
        <f t="shared" si="240"/>
        <v/>
      </c>
      <c r="AE43" s="1392" t="str">
        <f t="shared" si="202"/>
        <v/>
      </c>
      <c r="AF43" s="1395" t="str">
        <f t="shared" si="203"/>
        <v/>
      </c>
      <c r="AG43" s="1396" t="str">
        <f t="shared" si="204"/>
        <v/>
      </c>
      <c r="AH43" s="1398" t="str">
        <f t="shared" si="11"/>
        <v/>
      </c>
      <c r="AI43" s="1490" t="str">
        <f t="shared" si="235"/>
        <v/>
      </c>
      <c r="AJ43" s="1502" t="str">
        <f t="shared" si="239"/>
        <v/>
      </c>
      <c r="AK43" s="1503"/>
      <c r="AL43" s="1503"/>
      <c r="AM43" s="1504"/>
      <c r="AN43" s="1275" t="str">
        <f t="shared" si="12"/>
        <v/>
      </c>
      <c r="AO43" s="1502" t="str">
        <f t="shared" si="13"/>
        <v/>
      </c>
      <c r="AP43" s="1507"/>
      <c r="AQ43" s="1504"/>
      <c r="AR43" s="847"/>
      <c r="AS43" s="1258">
        <f t="shared" si="206"/>
        <v>0</v>
      </c>
      <c r="AT43" s="1256">
        <f t="shared" si="207"/>
        <v>0</v>
      </c>
      <c r="AU43" s="1381">
        <f t="shared" si="242"/>
        <v>1</v>
      </c>
      <c r="AV43" s="157" t="str">
        <f t="shared" si="14"/>
        <v/>
      </c>
      <c r="AW43" s="87" t="str">
        <f t="shared" si="236"/>
        <v/>
      </c>
      <c r="AX43" s="87" t="str">
        <f t="shared" si="15"/>
        <v/>
      </c>
      <c r="AY43" s="1341" t="str">
        <f t="shared" si="209"/>
        <v/>
      </c>
      <c r="AZ43" s="701">
        <f t="shared" si="210"/>
        <v>1</v>
      </c>
      <c r="BA43" s="1338" t="str">
        <f t="shared" si="211"/>
        <v/>
      </c>
      <c r="BB43" s="1335" t="str">
        <f t="shared" si="212"/>
        <v/>
      </c>
      <c r="BC43" s="86" t="str">
        <f t="shared" si="213"/>
        <v/>
      </c>
      <c r="BD43" s="701">
        <f t="shared" si="214"/>
        <v>1</v>
      </c>
      <c r="BE43" s="1273" t="str">
        <f t="shared" si="215"/>
        <v/>
      </c>
      <c r="BF43" s="86" t="str">
        <f t="shared" si="16"/>
        <v/>
      </c>
      <c r="BG43" s="57" t="str">
        <f t="shared" si="17"/>
        <v/>
      </c>
      <c r="BH43" s="1329">
        <f t="shared" si="216"/>
        <v>0</v>
      </c>
      <c r="BI43" s="88">
        <f t="shared" si="217"/>
        <v>0</v>
      </c>
      <c r="BJ43" s="88" t="str">
        <f t="shared" si="18"/>
        <v/>
      </c>
      <c r="BK43" s="88" t="str">
        <f t="shared" si="19"/>
        <v/>
      </c>
      <c r="BL43" s="88" t="str">
        <f t="shared" si="20"/>
        <v/>
      </c>
      <c r="BM43" s="88" t="str">
        <f t="shared" si="21"/>
        <v/>
      </c>
      <c r="BN43" s="88" t="str">
        <f t="shared" si="22"/>
        <v/>
      </c>
      <c r="BO43" s="88" t="str">
        <f t="shared" si="23"/>
        <v/>
      </c>
      <c r="BP43" s="88" t="str">
        <f t="shared" si="24"/>
        <v/>
      </c>
      <c r="BQ43" s="88" t="str">
        <f t="shared" si="25"/>
        <v/>
      </c>
      <c r="BR43" s="88" t="str">
        <f t="shared" si="26"/>
        <v/>
      </c>
      <c r="BS43" s="88" t="str">
        <f t="shared" si="27"/>
        <v/>
      </c>
      <c r="BT43" s="88" t="str">
        <f t="shared" si="28"/>
        <v/>
      </c>
      <c r="BU43" s="88" t="str">
        <f t="shared" si="29"/>
        <v/>
      </c>
      <c r="BV43" s="88" t="str">
        <f t="shared" si="30"/>
        <v/>
      </c>
      <c r="BW43" s="88" t="str">
        <f t="shared" si="31"/>
        <v/>
      </c>
      <c r="BX43" s="88" t="str">
        <f t="shared" si="32"/>
        <v/>
      </c>
      <c r="BY43" s="88" t="str">
        <f t="shared" si="33"/>
        <v/>
      </c>
      <c r="BZ43" s="88" t="str">
        <f t="shared" si="34"/>
        <v/>
      </c>
      <c r="CA43" s="88" t="str">
        <f t="shared" si="35"/>
        <v/>
      </c>
      <c r="CB43" s="88" t="str">
        <f t="shared" si="36"/>
        <v/>
      </c>
      <c r="CC43" s="88" t="str">
        <f t="shared" si="37"/>
        <v/>
      </c>
      <c r="CD43" s="88" t="str">
        <f t="shared" si="38"/>
        <v/>
      </c>
      <c r="CE43" s="88" t="str">
        <f t="shared" si="39"/>
        <v/>
      </c>
      <c r="CF43" s="88" t="str">
        <f t="shared" si="40"/>
        <v/>
      </c>
      <c r="CG43" s="88" t="str">
        <f t="shared" si="41"/>
        <v/>
      </c>
      <c r="CH43" s="88" t="str">
        <f t="shared" si="42"/>
        <v/>
      </c>
      <c r="CI43" s="790" t="str">
        <f t="shared" si="43"/>
        <v>0</v>
      </c>
      <c r="CJ43" s="791">
        <f t="shared" si="44"/>
        <v>0</v>
      </c>
      <c r="CK43" s="784" t="str">
        <f t="shared" si="45"/>
        <v>NA</v>
      </c>
      <c r="CL43" s="784" t="str">
        <f t="shared" si="46"/>
        <v/>
      </c>
      <c r="CM43" s="784" t="str">
        <f t="shared" si="218"/>
        <v/>
      </c>
      <c r="CN43" s="790" t="str">
        <f t="shared" si="47"/>
        <v/>
      </c>
      <c r="CO43" s="790" t="str">
        <f t="shared" si="48"/>
        <v/>
      </c>
      <c r="CP43" s="784" t="str">
        <f t="shared" si="49"/>
        <v/>
      </c>
      <c r="CQ43" s="790" t="str">
        <f t="shared" si="50"/>
        <v/>
      </c>
      <c r="CR43" s="524">
        <f t="shared" si="51"/>
        <v>0</v>
      </c>
      <c r="CS43" s="257" t="str">
        <f t="shared" si="219"/>
        <v/>
      </c>
      <c r="CT43" s="496">
        <f t="shared" si="238"/>
        <v>155.1</v>
      </c>
      <c r="CU43" s="496">
        <f t="shared" si="237"/>
        <v>155.1</v>
      </c>
      <c r="CV43" s="496">
        <f t="shared" si="220"/>
        <v>155.1</v>
      </c>
      <c r="CW43" s="495" t="str">
        <f t="shared" si="52"/>
        <v/>
      </c>
      <c r="CX43" s="496" t="str">
        <f t="shared" si="53"/>
        <v/>
      </c>
      <c r="CY43" s="496" t="str">
        <f t="shared" si="221"/>
        <v/>
      </c>
      <c r="CZ43" s="1456">
        <f t="shared" si="222"/>
        <v>1</v>
      </c>
      <c r="DA43" s="157" t="str">
        <f t="shared" si="223"/>
        <v/>
      </c>
      <c r="DB43" s="213" t="str">
        <f t="shared" si="224"/>
        <v/>
      </c>
      <c r="DC43" s="213" t="str">
        <f t="shared" si="225"/>
        <v/>
      </c>
      <c r="DD43" s="157" t="str">
        <f t="shared" si="54"/>
        <v/>
      </c>
      <c r="DE43" s="157" t="str">
        <f t="shared" si="55"/>
        <v/>
      </c>
      <c r="DF43" s="157" t="str">
        <f t="shared" si="56"/>
        <v/>
      </c>
      <c r="DG43" s="157" t="str">
        <f t="shared" si="57"/>
        <v/>
      </c>
      <c r="DH43" s="157" t="str">
        <f t="shared" si="58"/>
        <v/>
      </c>
      <c r="DI43" s="157" t="str">
        <f t="shared" si="59"/>
        <v/>
      </c>
      <c r="DJ43" s="157" t="str">
        <f t="shared" si="60"/>
        <v/>
      </c>
      <c r="DK43" s="157" t="str">
        <f t="shared" si="61"/>
        <v/>
      </c>
      <c r="DL43" s="157" t="str">
        <f t="shared" si="62"/>
        <v/>
      </c>
      <c r="DM43" s="157" t="str">
        <f t="shared" si="63"/>
        <v/>
      </c>
      <c r="DN43" s="33">
        <v>19</v>
      </c>
      <c r="DO43" s="1466" t="str">
        <f t="shared" si="226"/>
        <v/>
      </c>
      <c r="DP43" s="1014" t="str">
        <f t="shared" si="64"/>
        <v/>
      </c>
      <c r="DQ43" s="1026" t="str">
        <f t="shared" si="227"/>
        <v/>
      </c>
      <c r="DR43" s="1026" t="str">
        <f t="shared" si="228"/>
        <v/>
      </c>
      <c r="DS43" s="93" t="str">
        <f t="shared" si="65"/>
        <v/>
      </c>
      <c r="DT43" s="213" t="str">
        <f t="shared" si="66"/>
        <v/>
      </c>
      <c r="DU43" s="144" t="str">
        <f t="shared" si="67"/>
        <v/>
      </c>
      <c r="DV43" s="144" t="str">
        <f t="shared" si="68"/>
        <v/>
      </c>
      <c r="DW43" s="144" t="str">
        <f t="shared" si="69"/>
        <v/>
      </c>
      <c r="DX43" s="144" t="str">
        <f t="shared" si="70"/>
        <v/>
      </c>
      <c r="DY43" s="144" t="str">
        <f t="shared" si="71"/>
        <v/>
      </c>
      <c r="DZ43" s="144" t="str">
        <f t="shared" si="72"/>
        <v/>
      </c>
      <c r="EA43" s="144" t="str">
        <f t="shared" si="73"/>
        <v/>
      </c>
      <c r="EB43" s="144" t="str">
        <f t="shared" si="74"/>
        <v/>
      </c>
      <c r="EC43" s="144" t="str">
        <f t="shared" si="75"/>
        <v/>
      </c>
      <c r="ED43" s="144" t="str">
        <f t="shared" si="76"/>
        <v/>
      </c>
      <c r="EE43" s="144" t="str">
        <f t="shared" si="77"/>
        <v/>
      </c>
      <c r="EF43" s="144" t="str">
        <f t="shared" si="78"/>
        <v/>
      </c>
      <c r="EG43" s="144" t="str">
        <f t="shared" si="79"/>
        <v/>
      </c>
      <c r="EH43" s="144" t="str">
        <f t="shared" si="80"/>
        <v/>
      </c>
      <c r="EI43" s="144" t="str">
        <f t="shared" si="81"/>
        <v/>
      </c>
      <c r="EJ43" s="144" t="str">
        <f t="shared" si="82"/>
        <v/>
      </c>
      <c r="EK43" s="144" t="str">
        <f t="shared" si="83"/>
        <v/>
      </c>
      <c r="EL43" s="144" t="str">
        <f t="shared" si="84"/>
        <v/>
      </c>
      <c r="EM43" s="144" t="str">
        <f t="shared" si="85"/>
        <v/>
      </c>
      <c r="EN43" s="719" t="str">
        <f t="shared" si="86"/>
        <v/>
      </c>
      <c r="EO43" s="719" t="str">
        <f t="shared" si="87"/>
        <v/>
      </c>
      <c r="EP43" s="719" t="str">
        <f t="shared" si="88"/>
        <v/>
      </c>
      <c r="EQ43" s="719" t="str">
        <f t="shared" si="89"/>
        <v/>
      </c>
      <c r="ER43" s="719" t="str">
        <f t="shared" si="90"/>
        <v/>
      </c>
      <c r="EU43" s="33">
        <v>19</v>
      </c>
      <c r="EV43" s="735" t="str">
        <f t="shared" si="91"/>
        <v>Crítico</v>
      </c>
      <c r="EW43" s="741">
        <f t="shared" si="92"/>
        <v>1</v>
      </c>
      <c r="EX43" s="121" t="str">
        <f t="shared" si="93"/>
        <v>Crítico</v>
      </c>
      <c r="EY43" s="124">
        <f t="shared" si="229"/>
        <v>1</v>
      </c>
      <c r="EZ43" s="121" t="str">
        <f t="shared" si="94"/>
        <v>Crítico</v>
      </c>
      <c r="FA43" s="122">
        <f t="shared" si="95"/>
        <v>1</v>
      </c>
      <c r="FB43" s="18">
        <f t="shared" si="96"/>
        <v>0</v>
      </c>
      <c r="FC43" s="254" t="str">
        <f t="shared" si="97"/>
        <v/>
      </c>
      <c r="FD43" s="76" t="str">
        <f t="shared" si="230"/>
        <v/>
      </c>
      <c r="FE43" s="18">
        <f t="shared" si="231"/>
        <v>0</v>
      </c>
      <c r="FF43" s="703">
        <f t="shared" si="98"/>
        <v>0</v>
      </c>
      <c r="FG43" s="702">
        <f t="shared" si="99"/>
        <v>0</v>
      </c>
      <c r="FH43" s="19">
        <f t="shared" si="232"/>
        <v>0</v>
      </c>
      <c r="FI43" s="238" t="str">
        <f t="shared" si="233"/>
        <v/>
      </c>
      <c r="FJ43" s="701" t="str">
        <f t="shared" si="100"/>
        <v/>
      </c>
      <c r="FK43" s="66">
        <f t="shared" si="101"/>
        <v>0</v>
      </c>
      <c r="FL43" s="701" t="str">
        <f t="shared" si="102"/>
        <v/>
      </c>
      <c r="FM43" s="146" t="str">
        <f t="shared" si="103"/>
        <v/>
      </c>
      <c r="FN43" s="701" t="str">
        <f t="shared" si="104"/>
        <v/>
      </c>
      <c r="FO43" s="66">
        <f t="shared" si="105"/>
        <v>0</v>
      </c>
      <c r="FP43" s="701" t="str">
        <f t="shared" si="106"/>
        <v/>
      </c>
      <c r="FQ43" s="146" t="str">
        <f t="shared" si="107"/>
        <v/>
      </c>
      <c r="FR43" s="701" t="str">
        <f t="shared" si="108"/>
        <v/>
      </c>
      <c r="FS43" s="66">
        <f t="shared" si="109"/>
        <v>0</v>
      </c>
      <c r="FT43" s="701" t="str">
        <f t="shared" si="110"/>
        <v/>
      </c>
      <c r="FU43" s="146" t="str">
        <f t="shared" si="111"/>
        <v/>
      </c>
      <c r="FV43" s="701" t="str">
        <f t="shared" si="112"/>
        <v/>
      </c>
      <c r="FW43" s="66">
        <f t="shared" si="113"/>
        <v>0</v>
      </c>
      <c r="FX43" s="701" t="str">
        <f t="shared" si="114"/>
        <v/>
      </c>
      <c r="FY43" s="146" t="str">
        <f t="shared" si="115"/>
        <v/>
      </c>
      <c r="FZ43" s="701" t="str">
        <f t="shared" si="116"/>
        <v/>
      </c>
      <c r="GA43" s="66">
        <f t="shared" si="117"/>
        <v>0</v>
      </c>
      <c r="GB43" s="701" t="str">
        <f t="shared" si="118"/>
        <v/>
      </c>
      <c r="GC43" s="146" t="str">
        <f t="shared" si="119"/>
        <v/>
      </c>
      <c r="GD43" s="701" t="str">
        <f t="shared" si="120"/>
        <v/>
      </c>
      <c r="GE43" s="66">
        <f t="shared" si="121"/>
        <v>0</v>
      </c>
      <c r="GF43" s="701" t="str">
        <f t="shared" si="122"/>
        <v/>
      </c>
      <c r="GG43" s="146" t="str">
        <f t="shared" si="123"/>
        <v/>
      </c>
      <c r="GH43" s="701" t="str">
        <f t="shared" si="124"/>
        <v/>
      </c>
      <c r="GI43" s="66">
        <f t="shared" si="125"/>
        <v>0</v>
      </c>
      <c r="GJ43" s="701" t="str">
        <f t="shared" si="126"/>
        <v/>
      </c>
      <c r="GK43" s="146" t="str">
        <f t="shared" si="127"/>
        <v/>
      </c>
      <c r="GL43" s="701" t="str">
        <f t="shared" si="128"/>
        <v/>
      </c>
      <c r="GM43" s="66">
        <f t="shared" si="129"/>
        <v>0</v>
      </c>
      <c r="GN43" s="701" t="str">
        <f t="shared" si="130"/>
        <v/>
      </c>
      <c r="GO43" s="146" t="str">
        <f t="shared" si="131"/>
        <v/>
      </c>
      <c r="GP43" s="701" t="str">
        <f t="shared" si="132"/>
        <v/>
      </c>
      <c r="GQ43" s="66">
        <f t="shared" si="133"/>
        <v>0</v>
      </c>
      <c r="GR43" s="701" t="str">
        <f t="shared" si="134"/>
        <v/>
      </c>
      <c r="GS43" s="146" t="str">
        <f t="shared" si="135"/>
        <v/>
      </c>
      <c r="GT43" s="701" t="str">
        <f t="shared" si="136"/>
        <v/>
      </c>
      <c r="GU43" s="66">
        <f t="shared" si="137"/>
        <v>0</v>
      </c>
      <c r="GV43" s="701" t="str">
        <f t="shared" si="138"/>
        <v/>
      </c>
      <c r="GW43" s="146" t="str">
        <f t="shared" si="139"/>
        <v/>
      </c>
      <c r="GX43" s="701" t="str">
        <f t="shared" si="140"/>
        <v/>
      </c>
      <c r="GY43" s="66">
        <f t="shared" si="141"/>
        <v>0</v>
      </c>
      <c r="GZ43" s="701" t="str">
        <f t="shared" si="142"/>
        <v/>
      </c>
      <c r="HA43" s="146" t="str">
        <f t="shared" si="143"/>
        <v/>
      </c>
      <c r="HB43" s="701" t="str">
        <f t="shared" si="144"/>
        <v/>
      </c>
      <c r="HC43" s="66">
        <f t="shared" si="145"/>
        <v>0</v>
      </c>
      <c r="HD43" s="701" t="str">
        <f t="shared" si="146"/>
        <v/>
      </c>
      <c r="HE43" s="146" t="str">
        <f t="shared" si="147"/>
        <v/>
      </c>
      <c r="HF43" s="701" t="str">
        <f t="shared" si="148"/>
        <v/>
      </c>
      <c r="HG43" s="66">
        <f t="shared" si="149"/>
        <v>0</v>
      </c>
      <c r="HH43" s="701" t="str">
        <f t="shared" si="150"/>
        <v/>
      </c>
      <c r="HI43" s="146" t="str">
        <f t="shared" si="151"/>
        <v/>
      </c>
      <c r="HJ43" s="701" t="str">
        <f t="shared" si="152"/>
        <v/>
      </c>
      <c r="HK43" s="66">
        <f t="shared" si="153"/>
        <v>0</v>
      </c>
      <c r="HL43" s="701" t="str">
        <f t="shared" si="154"/>
        <v/>
      </c>
      <c r="HM43" s="146" t="str">
        <f t="shared" si="155"/>
        <v/>
      </c>
      <c r="HN43" s="701" t="str">
        <f t="shared" si="156"/>
        <v/>
      </c>
      <c r="HO43" s="66">
        <f t="shared" si="157"/>
        <v>0</v>
      </c>
      <c r="HP43" s="701" t="str">
        <f t="shared" si="158"/>
        <v/>
      </c>
      <c r="HQ43" s="146" t="str">
        <f t="shared" si="159"/>
        <v/>
      </c>
      <c r="HR43" s="701" t="str">
        <f t="shared" si="160"/>
        <v/>
      </c>
      <c r="HS43" s="66">
        <f t="shared" si="161"/>
        <v>0</v>
      </c>
      <c r="HT43" s="701" t="str">
        <f t="shared" si="162"/>
        <v/>
      </c>
      <c r="HU43" s="146" t="str">
        <f t="shared" si="163"/>
        <v/>
      </c>
      <c r="HV43" s="701" t="str">
        <f t="shared" si="164"/>
        <v/>
      </c>
      <c r="HW43" s="66">
        <f t="shared" si="165"/>
        <v>0</v>
      </c>
      <c r="HX43" s="701" t="str">
        <f t="shared" si="166"/>
        <v/>
      </c>
      <c r="HY43" s="146" t="str">
        <f t="shared" si="167"/>
        <v/>
      </c>
      <c r="HZ43" s="701" t="str">
        <f t="shared" si="168"/>
        <v/>
      </c>
      <c r="IA43" s="66">
        <f t="shared" si="169"/>
        <v>0</v>
      </c>
      <c r="IB43" s="701" t="str">
        <f t="shared" si="170"/>
        <v/>
      </c>
      <c r="IC43" s="146" t="str">
        <f t="shared" si="171"/>
        <v/>
      </c>
      <c r="ID43" s="701" t="str">
        <f t="shared" si="172"/>
        <v/>
      </c>
      <c r="IE43" s="66">
        <f t="shared" si="173"/>
        <v>0</v>
      </c>
      <c r="IF43" s="701" t="str">
        <f t="shared" si="174"/>
        <v/>
      </c>
      <c r="IG43" s="146" t="str">
        <f t="shared" si="175"/>
        <v/>
      </c>
      <c r="IH43" s="701" t="str">
        <f t="shared" si="176"/>
        <v/>
      </c>
      <c r="II43" s="66">
        <f t="shared" si="177"/>
        <v>0</v>
      </c>
      <c r="IJ43" s="701" t="str">
        <f t="shared" si="178"/>
        <v/>
      </c>
      <c r="IK43" s="146" t="str">
        <f t="shared" si="179"/>
        <v/>
      </c>
      <c r="IL43" s="701" t="str">
        <f t="shared" si="180"/>
        <v/>
      </c>
      <c r="IM43" s="66">
        <f t="shared" si="181"/>
        <v>0</v>
      </c>
      <c r="IN43" s="701" t="str">
        <f t="shared" si="182"/>
        <v/>
      </c>
      <c r="IO43" s="146" t="str">
        <f t="shared" si="183"/>
        <v/>
      </c>
      <c r="IP43" s="701" t="str">
        <f t="shared" si="184"/>
        <v/>
      </c>
      <c r="IQ43" s="66">
        <f t="shared" si="185"/>
        <v>0</v>
      </c>
      <c r="IR43" s="701" t="str">
        <f t="shared" si="186"/>
        <v/>
      </c>
      <c r="IS43" s="146" t="str">
        <f t="shared" si="187"/>
        <v/>
      </c>
      <c r="IT43" s="701" t="str">
        <f t="shared" si="188"/>
        <v/>
      </c>
      <c r="IU43" s="66">
        <f t="shared" si="189"/>
        <v>0</v>
      </c>
      <c r="IV43" s="701" t="str">
        <f t="shared" si="190"/>
        <v/>
      </c>
      <c r="IW43" s="146" t="str">
        <f t="shared" si="191"/>
        <v/>
      </c>
      <c r="IX43" s="701" t="str">
        <f t="shared" si="192"/>
        <v/>
      </c>
      <c r="IY43" s="66">
        <f t="shared" si="193"/>
        <v>0</v>
      </c>
    </row>
    <row r="44" spans="1:259" s="3" customFormat="1" ht="18" customHeight="1" thickTop="1" thickBot="1" x14ac:dyDescent="0.35">
      <c r="A44" s="1468" t="str">
        <f t="shared" si="194"/>
        <v/>
      </c>
      <c r="B44" s="780" t="str">
        <f t="shared" si="6"/>
        <v/>
      </c>
      <c r="D44" s="525" t="str">
        <f t="shared" si="234"/>
        <v/>
      </c>
      <c r="E44" s="522" t="str">
        <f>IF(DO73="","",SUM($DO$54:DO73))</f>
        <v/>
      </c>
      <c r="F44" s="843"/>
      <c r="G44" s="844"/>
      <c r="H44" s="1231"/>
      <c r="I44" s="1228"/>
      <c r="J44" s="1229"/>
      <c r="K44" s="1230"/>
      <c r="L44" s="1270" t="str">
        <f>IF('Quadro 2'!G32="","",'Quadro 2'!G32)</f>
        <v/>
      </c>
      <c r="M44" s="1270" t="str">
        <f t="shared" si="195"/>
        <v/>
      </c>
      <c r="N44" s="1459" t="str">
        <f t="shared" si="196"/>
        <v/>
      </c>
      <c r="O44" s="1480" t="str">
        <f t="shared" si="197"/>
        <v/>
      </c>
      <c r="P44" s="1271" t="str">
        <f t="shared" si="198"/>
        <v/>
      </c>
      <c r="Q44" s="1489" t="str">
        <f t="shared" si="199"/>
        <v/>
      </c>
      <c r="R44" s="1426" t="str">
        <f t="shared" si="7"/>
        <v/>
      </c>
      <c r="S44" s="848" t="str">
        <f t="shared" si="241"/>
        <v/>
      </c>
      <c r="T44" s="58" t="str">
        <f t="shared" si="9"/>
        <v/>
      </c>
      <c r="U44" s="1133"/>
      <c r="V44" s="143" t="str">
        <f t="shared" si="200"/>
        <v/>
      </c>
      <c r="W44" s="849" t="str">
        <f>IF(OR(H44="",V44="",V44=0),"",IF($V44&gt;'Quadro 1'!$G$23,'Quadro 1'!$G$23,IF($V44&lt;'Quadro 1'!$G$10,'Quadro 1'!$G$10,MIN($X44,$Y44))))</f>
        <v/>
      </c>
      <c r="X44" s="850" t="str">
        <f>IF($V44&lt;='Quadro 1'!$G$10,'Quadro 1'!$G$10,IF($V44&lt;='Quadro 1'!$G$11,'Quadro 1'!$G$11,IF($V44&lt;='Quadro 1'!$G$12,'Quadro 1'!$G$12,IF($V44&lt;='Quadro 1'!$G$13,'Quadro 1'!$G$13,IF($V44&lt;='Quadro 1'!$G$14,'Quadro 1'!$G$14,IF($V44&lt;='Quadro 1'!$G$15,'Quadro 1'!$G$15,IF($V44&lt;='Quadro 1'!$G$16,'Quadro 1'!$G$16,"")))))))</f>
        <v/>
      </c>
      <c r="Y44" s="851" t="str">
        <f>IF(OR(V44="",V44=0),"",IF($V44&lt;='Quadro 1'!$G$17,'Quadro 1'!$G$17,IF($V44&lt;='Quadro 1'!$G$18,'Quadro 1'!$G$18,IF($V44&lt;='Quadro 1'!$G$19,'Quadro 1'!$G$19,IF($V44&lt;='Quadro 1'!$G$20,'Quadro 1'!$G$20,IF($V44&lt;='Quadro 1'!$G$21,'Quadro 1'!$G$21,IF($V44&lt;='Quadro 1'!$G$22,'Quadro 1'!$G$22,IF($V44&lt;='Quadro 1'!$G$23,'Quadro 1'!$G$23,'Quadro 1'!$G$23))))))))</f>
        <v/>
      </c>
      <c r="Z44" s="852" t="str">
        <f>IF(W44="","",LOOKUP(W44,'Quadro 1'!$G$9:$G$23,'Quadro 1'!$H$9:$H$23))</f>
        <v/>
      </c>
      <c r="AA44" s="1417" t="str">
        <f>IF(W44="","",LOOKUP(W44,'Quadro 1'!$G$9:$G$23,'Quadro 1'!$D$9:$D$23))</f>
        <v/>
      </c>
      <c r="AB44" s="853" t="str">
        <f>IF(W44="","",LOOKUP(W44,'Quadro 1'!$G$9:$G$23,'Quadro 1'!$E$9:$E$23))</f>
        <v/>
      </c>
      <c r="AC44" s="1272" t="str">
        <f t="shared" si="201"/>
        <v/>
      </c>
      <c r="AD44" s="1274" t="str">
        <f t="shared" si="240"/>
        <v/>
      </c>
      <c r="AE44" s="1392" t="str">
        <f t="shared" si="202"/>
        <v/>
      </c>
      <c r="AF44" s="1395" t="str">
        <f t="shared" si="203"/>
        <v/>
      </c>
      <c r="AG44" s="1396" t="str">
        <f t="shared" si="204"/>
        <v/>
      </c>
      <c r="AH44" s="1398" t="str">
        <f t="shared" si="11"/>
        <v/>
      </c>
      <c r="AI44" s="1490" t="str">
        <f t="shared" si="235"/>
        <v/>
      </c>
      <c r="AJ44" s="1502" t="str">
        <f t="shared" si="239"/>
        <v/>
      </c>
      <c r="AK44" s="1503"/>
      <c r="AL44" s="1503"/>
      <c r="AM44" s="1504"/>
      <c r="AN44" s="1275" t="str">
        <f t="shared" si="12"/>
        <v/>
      </c>
      <c r="AO44" s="1502" t="str">
        <f t="shared" si="13"/>
        <v/>
      </c>
      <c r="AP44" s="1507"/>
      <c r="AQ44" s="1504"/>
      <c r="AR44" s="847"/>
      <c r="AS44" s="1258">
        <f t="shared" si="206"/>
        <v>0</v>
      </c>
      <c r="AT44" s="1256">
        <f t="shared" si="207"/>
        <v>0</v>
      </c>
      <c r="AU44" s="1381">
        <f t="shared" si="242"/>
        <v>1</v>
      </c>
      <c r="AV44" s="157" t="str">
        <f t="shared" si="14"/>
        <v/>
      </c>
      <c r="AW44" s="87" t="str">
        <f t="shared" si="236"/>
        <v/>
      </c>
      <c r="AX44" s="87" t="str">
        <f t="shared" si="15"/>
        <v/>
      </c>
      <c r="AY44" s="1341" t="str">
        <f t="shared" si="209"/>
        <v/>
      </c>
      <c r="AZ44" s="701">
        <f t="shared" si="210"/>
        <v>1</v>
      </c>
      <c r="BA44" s="1338" t="str">
        <f t="shared" si="211"/>
        <v/>
      </c>
      <c r="BB44" s="1335" t="str">
        <f t="shared" si="212"/>
        <v/>
      </c>
      <c r="BC44" s="86" t="str">
        <f t="shared" si="213"/>
        <v/>
      </c>
      <c r="BD44" s="701">
        <f t="shared" si="214"/>
        <v>1</v>
      </c>
      <c r="BE44" s="1273" t="str">
        <f t="shared" si="215"/>
        <v/>
      </c>
      <c r="BF44" s="86" t="str">
        <f t="shared" si="16"/>
        <v/>
      </c>
      <c r="BG44" s="57" t="str">
        <f t="shared" si="17"/>
        <v/>
      </c>
      <c r="BH44" s="1329">
        <f t="shared" si="216"/>
        <v>0</v>
      </c>
      <c r="BI44" s="88">
        <f t="shared" si="217"/>
        <v>0</v>
      </c>
      <c r="BJ44" s="88" t="str">
        <f t="shared" si="18"/>
        <v/>
      </c>
      <c r="BK44" s="88" t="str">
        <f t="shared" si="19"/>
        <v/>
      </c>
      <c r="BL44" s="88" t="str">
        <f t="shared" si="20"/>
        <v/>
      </c>
      <c r="BM44" s="88" t="str">
        <f t="shared" si="21"/>
        <v/>
      </c>
      <c r="BN44" s="88" t="str">
        <f t="shared" si="22"/>
        <v/>
      </c>
      <c r="BO44" s="88" t="str">
        <f t="shared" si="23"/>
        <v/>
      </c>
      <c r="BP44" s="88" t="str">
        <f t="shared" si="24"/>
        <v/>
      </c>
      <c r="BQ44" s="88" t="str">
        <f t="shared" si="25"/>
        <v/>
      </c>
      <c r="BR44" s="88" t="str">
        <f t="shared" si="26"/>
        <v/>
      </c>
      <c r="BS44" s="88" t="str">
        <f t="shared" si="27"/>
        <v/>
      </c>
      <c r="BT44" s="88" t="str">
        <f t="shared" si="28"/>
        <v/>
      </c>
      <c r="BU44" s="88" t="str">
        <f t="shared" si="29"/>
        <v/>
      </c>
      <c r="BV44" s="88" t="str">
        <f t="shared" si="30"/>
        <v/>
      </c>
      <c r="BW44" s="88" t="str">
        <f t="shared" si="31"/>
        <v/>
      </c>
      <c r="BX44" s="88" t="str">
        <f t="shared" si="32"/>
        <v/>
      </c>
      <c r="BY44" s="88" t="str">
        <f t="shared" si="33"/>
        <v/>
      </c>
      <c r="BZ44" s="88" t="str">
        <f t="shared" si="34"/>
        <v/>
      </c>
      <c r="CA44" s="88" t="str">
        <f t="shared" si="35"/>
        <v/>
      </c>
      <c r="CB44" s="88" t="str">
        <f t="shared" si="36"/>
        <v/>
      </c>
      <c r="CC44" s="88" t="str">
        <f t="shared" si="37"/>
        <v/>
      </c>
      <c r="CD44" s="88" t="str">
        <f t="shared" si="38"/>
        <v/>
      </c>
      <c r="CE44" s="88" t="str">
        <f t="shared" si="39"/>
        <v/>
      </c>
      <c r="CF44" s="88" t="str">
        <f t="shared" si="40"/>
        <v/>
      </c>
      <c r="CG44" s="88" t="str">
        <f t="shared" si="41"/>
        <v/>
      </c>
      <c r="CH44" s="88" t="str">
        <f t="shared" si="42"/>
        <v/>
      </c>
      <c r="CI44" s="790" t="str">
        <f t="shared" si="43"/>
        <v>0</v>
      </c>
      <c r="CJ44" s="791">
        <f t="shared" si="44"/>
        <v>0</v>
      </c>
      <c r="CK44" s="784" t="str">
        <f t="shared" si="45"/>
        <v>NA</v>
      </c>
      <c r="CL44" s="784" t="str">
        <f t="shared" si="46"/>
        <v/>
      </c>
      <c r="CM44" s="784" t="str">
        <f t="shared" si="218"/>
        <v/>
      </c>
      <c r="CN44" s="790" t="str">
        <f t="shared" si="47"/>
        <v/>
      </c>
      <c r="CO44" s="790" t="str">
        <f t="shared" si="48"/>
        <v/>
      </c>
      <c r="CP44" s="784" t="str">
        <f t="shared" si="49"/>
        <v/>
      </c>
      <c r="CQ44" s="790" t="str">
        <f t="shared" si="50"/>
        <v/>
      </c>
      <c r="CR44" s="524">
        <f t="shared" si="51"/>
        <v>0</v>
      </c>
      <c r="CS44" s="257" t="str">
        <f t="shared" si="219"/>
        <v/>
      </c>
      <c r="CT44" s="496">
        <f t="shared" si="238"/>
        <v>155.1</v>
      </c>
      <c r="CU44" s="496">
        <f t="shared" si="237"/>
        <v>155.1</v>
      </c>
      <c r="CV44" s="496">
        <f t="shared" si="220"/>
        <v>155.1</v>
      </c>
      <c r="CW44" s="495" t="str">
        <f t="shared" si="52"/>
        <v/>
      </c>
      <c r="CX44" s="497" t="str">
        <f t="shared" si="53"/>
        <v/>
      </c>
      <c r="CY44" s="496" t="str">
        <f t="shared" si="221"/>
        <v/>
      </c>
      <c r="CZ44" s="1456">
        <f t="shared" si="222"/>
        <v>1</v>
      </c>
      <c r="DA44" s="157" t="str">
        <f t="shared" si="223"/>
        <v/>
      </c>
      <c r="DB44" s="213" t="str">
        <f t="shared" si="224"/>
        <v/>
      </c>
      <c r="DC44" s="213" t="str">
        <f>IF(DK44&lt;&gt;"",DK44,IF(DL44&lt;&gt;"",DL44,IF(DM44&lt;&gt;"",DM44,"")))</f>
        <v/>
      </c>
      <c r="DD44" s="157" t="str">
        <f t="shared" si="54"/>
        <v/>
      </c>
      <c r="DE44" s="157" t="str">
        <f t="shared" si="55"/>
        <v/>
      </c>
      <c r="DF44" s="157" t="str">
        <f t="shared" si="56"/>
        <v/>
      </c>
      <c r="DG44" s="157" t="str">
        <f>IF(OR($DT44="",$AU$105="",COUNTIF($DT44:$ER44,$AU$105)=0),"",LOOKUP(MATCH($AU$105,$DT44:$ER44,0),$DT$24:$ER$24,$DT44:$ER44))</f>
        <v/>
      </c>
      <c r="DH44" s="157" t="str">
        <f t="shared" si="58"/>
        <v/>
      </c>
      <c r="DI44" s="157" t="str">
        <f t="shared" si="59"/>
        <v/>
      </c>
      <c r="DJ44" s="157" t="str">
        <f t="shared" si="60"/>
        <v/>
      </c>
      <c r="DK44" s="157" t="str">
        <f t="shared" si="61"/>
        <v/>
      </c>
      <c r="DL44" s="157" t="str">
        <f t="shared" si="62"/>
        <v/>
      </c>
      <c r="DM44" s="157" t="str">
        <f t="shared" si="63"/>
        <v/>
      </c>
      <c r="DN44" s="33">
        <v>20</v>
      </c>
      <c r="DO44" s="1466" t="str">
        <f t="shared" si="226"/>
        <v/>
      </c>
      <c r="DP44" s="1014" t="str">
        <f t="shared" si="64"/>
        <v/>
      </c>
      <c r="DQ44" s="1026" t="str">
        <f t="shared" si="227"/>
        <v/>
      </c>
      <c r="DR44" s="1026" t="str">
        <f t="shared" si="228"/>
        <v/>
      </c>
      <c r="DS44" s="93" t="str">
        <f t="shared" si="65"/>
        <v/>
      </c>
      <c r="DT44" s="213" t="str">
        <f t="shared" si="66"/>
        <v/>
      </c>
      <c r="DU44" s="144" t="str">
        <f t="shared" si="67"/>
        <v/>
      </c>
      <c r="DV44" s="144" t="str">
        <f t="shared" si="68"/>
        <v/>
      </c>
      <c r="DW44" s="144" t="str">
        <f t="shared" si="69"/>
        <v/>
      </c>
      <c r="DX44" s="144" t="str">
        <f t="shared" si="70"/>
        <v/>
      </c>
      <c r="DY44" s="144" t="str">
        <f t="shared" si="71"/>
        <v/>
      </c>
      <c r="DZ44" s="144" t="str">
        <f t="shared" si="72"/>
        <v/>
      </c>
      <c r="EA44" s="144" t="str">
        <f t="shared" si="73"/>
        <v/>
      </c>
      <c r="EB44" s="144" t="str">
        <f t="shared" si="74"/>
        <v/>
      </c>
      <c r="EC44" s="144" t="str">
        <f t="shared" si="75"/>
        <v/>
      </c>
      <c r="ED44" s="144" t="str">
        <f t="shared" si="76"/>
        <v/>
      </c>
      <c r="EE44" s="144" t="str">
        <f t="shared" si="77"/>
        <v/>
      </c>
      <c r="EF44" s="144" t="str">
        <f t="shared" si="78"/>
        <v/>
      </c>
      <c r="EG44" s="144" t="str">
        <f t="shared" si="79"/>
        <v/>
      </c>
      <c r="EH44" s="144" t="str">
        <f t="shared" si="80"/>
        <v/>
      </c>
      <c r="EI44" s="144" t="str">
        <f t="shared" si="81"/>
        <v/>
      </c>
      <c r="EJ44" s="144" t="str">
        <f t="shared" si="82"/>
        <v/>
      </c>
      <c r="EK44" s="144" t="str">
        <f t="shared" si="83"/>
        <v/>
      </c>
      <c r="EL44" s="144" t="str">
        <f t="shared" si="84"/>
        <v/>
      </c>
      <c r="EM44" s="144" t="str">
        <f t="shared" si="85"/>
        <v/>
      </c>
      <c r="EN44" s="719" t="str">
        <f t="shared" si="86"/>
        <v/>
      </c>
      <c r="EO44" s="719" t="str">
        <f t="shared" si="87"/>
        <v/>
      </c>
      <c r="EP44" s="719" t="str">
        <f t="shared" si="88"/>
        <v/>
      </c>
      <c r="EQ44" s="719" t="str">
        <f t="shared" si="89"/>
        <v/>
      </c>
      <c r="ER44" s="719" t="str">
        <f t="shared" si="90"/>
        <v/>
      </c>
      <c r="EU44" s="33">
        <v>20</v>
      </c>
      <c r="EV44" s="735" t="str">
        <f t="shared" si="91"/>
        <v>Crítico</v>
      </c>
      <c r="EW44" s="741">
        <f t="shared" si="92"/>
        <v>1</v>
      </c>
      <c r="EX44" s="121" t="str">
        <f t="shared" si="93"/>
        <v>Crítico</v>
      </c>
      <c r="EY44" s="124">
        <f t="shared" si="229"/>
        <v>1</v>
      </c>
      <c r="EZ44" s="121" t="str">
        <f t="shared" si="94"/>
        <v>Crítico</v>
      </c>
      <c r="FA44" s="122">
        <f t="shared" si="95"/>
        <v>1</v>
      </c>
      <c r="FB44" s="18">
        <f t="shared" si="96"/>
        <v>0</v>
      </c>
      <c r="FC44" s="254" t="str">
        <f t="shared" si="97"/>
        <v/>
      </c>
      <c r="FD44" s="76" t="str">
        <f t="shared" si="230"/>
        <v/>
      </c>
      <c r="FE44" s="18">
        <f t="shared" si="231"/>
        <v>0</v>
      </c>
      <c r="FF44" s="703">
        <f t="shared" si="98"/>
        <v>0</v>
      </c>
      <c r="FG44" s="702">
        <f t="shared" si="99"/>
        <v>0</v>
      </c>
      <c r="FH44" s="19">
        <f t="shared" si="232"/>
        <v>0</v>
      </c>
      <c r="FI44" s="238" t="str">
        <f t="shared" si="233"/>
        <v/>
      </c>
      <c r="FJ44" s="701" t="str">
        <f t="shared" si="100"/>
        <v/>
      </c>
      <c r="FK44" s="66">
        <f t="shared" si="101"/>
        <v>0</v>
      </c>
      <c r="FL44" s="701" t="str">
        <f t="shared" si="102"/>
        <v/>
      </c>
      <c r="FM44" s="146" t="str">
        <f t="shared" si="103"/>
        <v/>
      </c>
      <c r="FN44" s="701" t="str">
        <f t="shared" si="104"/>
        <v/>
      </c>
      <c r="FO44" s="66">
        <f t="shared" si="105"/>
        <v>0</v>
      </c>
      <c r="FP44" s="701" t="str">
        <f t="shared" si="106"/>
        <v/>
      </c>
      <c r="FQ44" s="146" t="str">
        <f t="shared" si="107"/>
        <v/>
      </c>
      <c r="FR44" s="701" t="str">
        <f t="shared" si="108"/>
        <v/>
      </c>
      <c r="FS44" s="66">
        <f t="shared" si="109"/>
        <v>0</v>
      </c>
      <c r="FT44" s="701" t="str">
        <f t="shared" si="110"/>
        <v/>
      </c>
      <c r="FU44" s="146" t="str">
        <f t="shared" si="111"/>
        <v/>
      </c>
      <c r="FV44" s="701" t="str">
        <f t="shared" si="112"/>
        <v/>
      </c>
      <c r="FW44" s="66">
        <f t="shared" si="113"/>
        <v>0</v>
      </c>
      <c r="FX44" s="701" t="str">
        <f t="shared" si="114"/>
        <v/>
      </c>
      <c r="FY44" s="146" t="str">
        <f t="shared" si="115"/>
        <v/>
      </c>
      <c r="FZ44" s="701" t="str">
        <f t="shared" si="116"/>
        <v/>
      </c>
      <c r="GA44" s="66">
        <f t="shared" si="117"/>
        <v>0</v>
      </c>
      <c r="GB44" s="701" t="str">
        <f t="shared" si="118"/>
        <v/>
      </c>
      <c r="GC44" s="146" t="str">
        <f t="shared" si="119"/>
        <v/>
      </c>
      <c r="GD44" s="701" t="str">
        <f t="shared" si="120"/>
        <v/>
      </c>
      <c r="GE44" s="66">
        <f t="shared" si="121"/>
        <v>0</v>
      </c>
      <c r="GF44" s="701" t="str">
        <f t="shared" si="122"/>
        <v/>
      </c>
      <c r="GG44" s="146" t="str">
        <f t="shared" si="123"/>
        <v/>
      </c>
      <c r="GH44" s="701" t="str">
        <f t="shared" si="124"/>
        <v/>
      </c>
      <c r="GI44" s="66">
        <f t="shared" si="125"/>
        <v>0</v>
      </c>
      <c r="GJ44" s="701" t="str">
        <f t="shared" si="126"/>
        <v/>
      </c>
      <c r="GK44" s="146" t="str">
        <f t="shared" si="127"/>
        <v/>
      </c>
      <c r="GL44" s="701" t="str">
        <f t="shared" si="128"/>
        <v/>
      </c>
      <c r="GM44" s="66">
        <f t="shared" si="129"/>
        <v>0</v>
      </c>
      <c r="GN44" s="701" t="str">
        <f t="shared" si="130"/>
        <v/>
      </c>
      <c r="GO44" s="146" t="str">
        <f t="shared" si="131"/>
        <v/>
      </c>
      <c r="GP44" s="701" t="str">
        <f t="shared" si="132"/>
        <v/>
      </c>
      <c r="GQ44" s="66">
        <f t="shared" si="133"/>
        <v>0</v>
      </c>
      <c r="GR44" s="701" t="str">
        <f t="shared" si="134"/>
        <v/>
      </c>
      <c r="GS44" s="146" t="str">
        <f t="shared" si="135"/>
        <v/>
      </c>
      <c r="GT44" s="701" t="str">
        <f t="shared" si="136"/>
        <v/>
      </c>
      <c r="GU44" s="66">
        <f t="shared" si="137"/>
        <v>0</v>
      </c>
      <c r="GV44" s="701" t="str">
        <f t="shared" si="138"/>
        <v/>
      </c>
      <c r="GW44" s="146" t="str">
        <f t="shared" si="139"/>
        <v/>
      </c>
      <c r="GX44" s="701" t="str">
        <f t="shared" si="140"/>
        <v/>
      </c>
      <c r="GY44" s="66">
        <f t="shared" si="141"/>
        <v>0</v>
      </c>
      <c r="GZ44" s="701" t="str">
        <f t="shared" si="142"/>
        <v/>
      </c>
      <c r="HA44" s="146" t="str">
        <f t="shared" si="143"/>
        <v/>
      </c>
      <c r="HB44" s="701" t="str">
        <f t="shared" si="144"/>
        <v/>
      </c>
      <c r="HC44" s="66">
        <f t="shared" si="145"/>
        <v>0</v>
      </c>
      <c r="HD44" s="701" t="str">
        <f t="shared" si="146"/>
        <v/>
      </c>
      <c r="HE44" s="146" t="str">
        <f t="shared" si="147"/>
        <v/>
      </c>
      <c r="HF44" s="701" t="str">
        <f t="shared" si="148"/>
        <v/>
      </c>
      <c r="HG44" s="66">
        <f t="shared" si="149"/>
        <v>0</v>
      </c>
      <c r="HH44" s="701" t="str">
        <f t="shared" si="150"/>
        <v/>
      </c>
      <c r="HI44" s="146" t="str">
        <f t="shared" si="151"/>
        <v/>
      </c>
      <c r="HJ44" s="701" t="str">
        <f t="shared" si="152"/>
        <v/>
      </c>
      <c r="HK44" s="66">
        <f t="shared" si="153"/>
        <v>0</v>
      </c>
      <c r="HL44" s="701" t="str">
        <f t="shared" si="154"/>
        <v/>
      </c>
      <c r="HM44" s="146" t="str">
        <f t="shared" si="155"/>
        <v/>
      </c>
      <c r="HN44" s="701" t="str">
        <f t="shared" si="156"/>
        <v/>
      </c>
      <c r="HO44" s="66">
        <f t="shared" si="157"/>
        <v>0</v>
      </c>
      <c r="HP44" s="701" t="str">
        <f t="shared" si="158"/>
        <v/>
      </c>
      <c r="HQ44" s="146" t="str">
        <f t="shared" si="159"/>
        <v/>
      </c>
      <c r="HR44" s="701" t="str">
        <f t="shared" si="160"/>
        <v/>
      </c>
      <c r="HS44" s="66">
        <f t="shared" si="161"/>
        <v>0</v>
      </c>
      <c r="HT44" s="701" t="str">
        <f t="shared" si="162"/>
        <v/>
      </c>
      <c r="HU44" s="146" t="str">
        <f t="shared" si="163"/>
        <v/>
      </c>
      <c r="HV44" s="701" t="str">
        <f t="shared" si="164"/>
        <v/>
      </c>
      <c r="HW44" s="66">
        <f t="shared" si="165"/>
        <v>0</v>
      </c>
      <c r="HX44" s="701" t="str">
        <f t="shared" si="166"/>
        <v/>
      </c>
      <c r="HY44" s="146" t="str">
        <f t="shared" si="167"/>
        <v/>
      </c>
      <c r="HZ44" s="701" t="str">
        <f t="shared" si="168"/>
        <v/>
      </c>
      <c r="IA44" s="66">
        <f t="shared" si="169"/>
        <v>0</v>
      </c>
      <c r="IB44" s="701" t="str">
        <f t="shared" si="170"/>
        <v/>
      </c>
      <c r="IC44" s="146" t="str">
        <f t="shared" si="171"/>
        <v/>
      </c>
      <c r="ID44" s="701" t="str">
        <f t="shared" si="172"/>
        <v/>
      </c>
      <c r="IE44" s="66">
        <f t="shared" si="173"/>
        <v>0</v>
      </c>
      <c r="IF44" s="701" t="str">
        <f t="shared" si="174"/>
        <v/>
      </c>
      <c r="IG44" s="146" t="str">
        <f t="shared" si="175"/>
        <v/>
      </c>
      <c r="IH44" s="701" t="str">
        <f t="shared" si="176"/>
        <v/>
      </c>
      <c r="II44" s="66">
        <f t="shared" si="177"/>
        <v>0</v>
      </c>
      <c r="IJ44" s="701" t="str">
        <f t="shared" si="178"/>
        <v/>
      </c>
      <c r="IK44" s="146" t="str">
        <f t="shared" si="179"/>
        <v/>
      </c>
      <c r="IL44" s="701" t="str">
        <f t="shared" si="180"/>
        <v/>
      </c>
      <c r="IM44" s="66">
        <f t="shared" si="181"/>
        <v>0</v>
      </c>
      <c r="IN44" s="701" t="str">
        <f t="shared" si="182"/>
        <v/>
      </c>
      <c r="IO44" s="146" t="str">
        <f t="shared" si="183"/>
        <v/>
      </c>
      <c r="IP44" s="701" t="str">
        <f t="shared" si="184"/>
        <v/>
      </c>
      <c r="IQ44" s="66">
        <f t="shared" si="185"/>
        <v>0</v>
      </c>
      <c r="IR44" s="701" t="str">
        <f t="shared" si="186"/>
        <v/>
      </c>
      <c r="IS44" s="146" t="str">
        <f t="shared" si="187"/>
        <v/>
      </c>
      <c r="IT44" s="701" t="str">
        <f t="shared" si="188"/>
        <v/>
      </c>
      <c r="IU44" s="66">
        <f t="shared" si="189"/>
        <v>0</v>
      </c>
      <c r="IV44" s="701" t="str">
        <f t="shared" si="190"/>
        <v/>
      </c>
      <c r="IW44" s="146" t="str">
        <f t="shared" si="191"/>
        <v/>
      </c>
      <c r="IX44" s="701" t="str">
        <f t="shared" si="192"/>
        <v/>
      </c>
      <c r="IY44" s="66">
        <f t="shared" si="193"/>
        <v>0</v>
      </c>
    </row>
    <row r="45" spans="1:259" s="3" customFormat="1" ht="18" customHeight="1" thickTop="1" thickBot="1" x14ac:dyDescent="0.35">
      <c r="A45" s="1468" t="str">
        <f t="shared" si="194"/>
        <v/>
      </c>
      <c r="B45" s="780" t="str">
        <f t="shared" si="6"/>
        <v/>
      </c>
      <c r="D45" s="525" t="str">
        <f>IF(AND(H45&lt;=$AU$7,OR(LEN(F45)&gt;1,LEN(G45)&gt;1),OR(LEFT(F45,1)="s",LEFT(G45,1)="s"),OR(RIGHT(G45,1)="0",RIGHT(G45,1)="1",RIGHT(G45,1)="2",RIGHT(G45,1)="3",RIGHT(G45,1)="4",RIGHT(G45,1)="5",RIGHT(G45,1)="6",RIGHT(G45,1)="7",RIGHT(G45,1)="8",RIGHT(G45,1)="9",RIGHT(F45,1)="0",RIGHT(F45,1)="1",RIGHT(F45,1)="2",RIGHT(F45,1)="3",RIGHT(F45,1)="4",RIGHT(F45,1)="5",RIGHT(F45,1)="6",RIGHT(F45,1)="7",RIGHT(F45,1)="8",RIGHT(F45,1)="9")),"s","")</f>
        <v/>
      </c>
      <c r="E45" s="522" t="str">
        <f>IF(DO74="","",SUM($DO$54:DO74))</f>
        <v/>
      </c>
      <c r="F45" s="843"/>
      <c r="G45" s="844"/>
      <c r="H45" s="1231"/>
      <c r="I45" s="1228"/>
      <c r="J45" s="1229"/>
      <c r="K45" s="1230"/>
      <c r="L45" s="1270" t="str">
        <f>IF('Quadro 2'!G33="","",'Quadro 2'!G33)</f>
        <v/>
      </c>
      <c r="M45" s="1270" t="str">
        <f t="shared" si="195"/>
        <v/>
      </c>
      <c r="N45" s="1459" t="str">
        <f t="shared" si="196"/>
        <v/>
      </c>
      <c r="O45" s="1480" t="str">
        <f t="shared" si="197"/>
        <v/>
      </c>
      <c r="P45" s="1271" t="str">
        <f t="shared" si="198"/>
        <v/>
      </c>
      <c r="Q45" s="1489" t="str">
        <f t="shared" si="199"/>
        <v/>
      </c>
      <c r="R45" s="1426" t="str">
        <f t="shared" si="7"/>
        <v/>
      </c>
      <c r="S45" s="848" t="str">
        <f t="shared" si="241"/>
        <v/>
      </c>
      <c r="T45" s="58" t="str">
        <f t="shared" si="9"/>
        <v/>
      </c>
      <c r="U45" s="1133"/>
      <c r="V45" s="143" t="str">
        <f t="shared" si="200"/>
        <v/>
      </c>
      <c r="W45" s="849" t="str">
        <f>IF(OR(H45="",V45="",V45=0),"",IF($V45&gt;'Quadro 1'!$G$23,'Quadro 1'!$G$23,IF($V45&lt;'Quadro 1'!$G$10,'Quadro 1'!$G$10,MIN($X45,$Y45))))</f>
        <v/>
      </c>
      <c r="X45" s="850" t="str">
        <f>IF($V45&lt;='Quadro 1'!$G$10,'Quadro 1'!$G$10,IF($V45&lt;='Quadro 1'!$G$11,'Quadro 1'!$G$11,IF($V45&lt;='Quadro 1'!$G$12,'Quadro 1'!$G$12,IF($V45&lt;='Quadro 1'!$G$13,'Quadro 1'!$G$13,IF($V45&lt;='Quadro 1'!$G$14,'Quadro 1'!$G$14,IF($V45&lt;='Quadro 1'!$G$15,'Quadro 1'!$G$15,IF($V45&lt;='Quadro 1'!$G$16,'Quadro 1'!$G$16,"")))))))</f>
        <v/>
      </c>
      <c r="Y45" s="851" t="str">
        <f>IF(OR(V45="",V45=0),"",IF($V45&lt;='Quadro 1'!$G$17,'Quadro 1'!$G$17,IF($V45&lt;='Quadro 1'!$G$18,'Quadro 1'!$G$18,IF($V45&lt;='Quadro 1'!$G$19,'Quadro 1'!$G$19,IF($V45&lt;='Quadro 1'!$G$20,'Quadro 1'!$G$20,IF($V45&lt;='Quadro 1'!$G$21,'Quadro 1'!$G$21,IF($V45&lt;='Quadro 1'!$G$22,'Quadro 1'!$G$22,IF($V45&lt;='Quadro 1'!$G$23,'Quadro 1'!$G$23,'Quadro 1'!$G$23))))))))</f>
        <v/>
      </c>
      <c r="Z45" s="852" t="str">
        <f>IF(W45="","",LOOKUP(W45,'Quadro 1'!$G$9:$G$23,'Quadro 1'!$H$9:$H$23))</f>
        <v/>
      </c>
      <c r="AA45" s="1417" t="str">
        <f>IF(W45="","",LOOKUP(W45,'Quadro 1'!$G$9:$G$23,'Quadro 1'!$D$9:$D$23))</f>
        <v/>
      </c>
      <c r="AB45" s="853" t="str">
        <f>IF(W45="","",LOOKUP(W45,'Quadro 1'!$G$9:$G$23,'Quadro 1'!$E$9:$E$23))</f>
        <v/>
      </c>
      <c r="AC45" s="1272" t="str">
        <f t="shared" si="201"/>
        <v/>
      </c>
      <c r="AD45" s="1274" t="str">
        <f t="shared" si="240"/>
        <v/>
      </c>
      <c r="AE45" s="1392" t="str">
        <f t="shared" si="202"/>
        <v/>
      </c>
      <c r="AF45" s="1395" t="str">
        <f t="shared" si="203"/>
        <v/>
      </c>
      <c r="AG45" s="1396" t="str">
        <f t="shared" si="204"/>
        <v/>
      </c>
      <c r="AH45" s="1398" t="str">
        <f t="shared" si="11"/>
        <v/>
      </c>
      <c r="AI45" s="1490" t="str">
        <f t="shared" si="235"/>
        <v/>
      </c>
      <c r="AJ45" s="1502" t="str">
        <f t="shared" si="239"/>
        <v/>
      </c>
      <c r="AK45" s="1503"/>
      <c r="AL45" s="1503"/>
      <c r="AM45" s="1504"/>
      <c r="AN45" s="1275" t="str">
        <f t="shared" si="12"/>
        <v/>
      </c>
      <c r="AO45" s="1502" t="str">
        <f t="shared" si="13"/>
        <v/>
      </c>
      <c r="AP45" s="1507"/>
      <c r="AQ45" s="1504"/>
      <c r="AR45" s="847"/>
      <c r="AS45" s="1258">
        <f t="shared" si="206"/>
        <v>0</v>
      </c>
      <c r="AT45" s="1256">
        <f t="shared" si="207"/>
        <v>0</v>
      </c>
      <c r="AU45" s="1381">
        <f t="shared" si="242"/>
        <v>1</v>
      </c>
      <c r="AV45" s="157" t="str">
        <f t="shared" si="14"/>
        <v/>
      </c>
      <c r="AW45" s="87" t="str">
        <f t="shared" si="236"/>
        <v/>
      </c>
      <c r="AX45" s="87" t="str">
        <f t="shared" si="15"/>
        <v/>
      </c>
      <c r="AY45" s="1341" t="str">
        <f t="shared" si="209"/>
        <v/>
      </c>
      <c r="AZ45" s="701">
        <f t="shared" si="210"/>
        <v>1</v>
      </c>
      <c r="BA45" s="1338" t="str">
        <f t="shared" si="211"/>
        <v/>
      </c>
      <c r="BB45" s="1335" t="str">
        <f t="shared" si="212"/>
        <v/>
      </c>
      <c r="BC45" s="86" t="str">
        <f t="shared" si="213"/>
        <v/>
      </c>
      <c r="BD45" s="701">
        <f t="shared" si="214"/>
        <v>1</v>
      </c>
      <c r="BE45" s="1273" t="str">
        <f t="shared" si="215"/>
        <v/>
      </c>
      <c r="BF45" s="86" t="str">
        <f t="shared" si="16"/>
        <v/>
      </c>
      <c r="BG45" s="57" t="str">
        <f t="shared" si="17"/>
        <v/>
      </c>
      <c r="BH45" s="1329">
        <f t="shared" si="216"/>
        <v>0</v>
      </c>
      <c r="BI45" s="88">
        <f t="shared" si="217"/>
        <v>0</v>
      </c>
      <c r="BJ45" s="88" t="str">
        <f t="shared" si="18"/>
        <v/>
      </c>
      <c r="BK45" s="88" t="str">
        <f t="shared" si="19"/>
        <v/>
      </c>
      <c r="BL45" s="88" t="str">
        <f t="shared" si="20"/>
        <v/>
      </c>
      <c r="BM45" s="88" t="str">
        <f t="shared" si="21"/>
        <v/>
      </c>
      <c r="BN45" s="88" t="str">
        <f t="shared" si="22"/>
        <v/>
      </c>
      <c r="BO45" s="88" t="str">
        <f t="shared" si="23"/>
        <v/>
      </c>
      <c r="BP45" s="88" t="str">
        <f t="shared" si="24"/>
        <v/>
      </c>
      <c r="BQ45" s="88" t="str">
        <f t="shared" si="25"/>
        <v/>
      </c>
      <c r="BR45" s="88" t="str">
        <f t="shared" si="26"/>
        <v/>
      </c>
      <c r="BS45" s="88" t="str">
        <f t="shared" si="27"/>
        <v/>
      </c>
      <c r="BT45" s="88" t="str">
        <f t="shared" si="28"/>
        <v/>
      </c>
      <c r="BU45" s="88" t="str">
        <f t="shared" si="29"/>
        <v/>
      </c>
      <c r="BV45" s="88" t="str">
        <f t="shared" si="30"/>
        <v/>
      </c>
      <c r="BW45" s="88" t="str">
        <f t="shared" si="31"/>
        <v/>
      </c>
      <c r="BX45" s="88" t="str">
        <f t="shared" si="32"/>
        <v/>
      </c>
      <c r="BY45" s="88" t="str">
        <f t="shared" si="33"/>
        <v/>
      </c>
      <c r="BZ45" s="88" t="str">
        <f t="shared" si="34"/>
        <v/>
      </c>
      <c r="CA45" s="88" t="str">
        <f t="shared" si="35"/>
        <v/>
      </c>
      <c r="CB45" s="88" t="str">
        <f t="shared" si="36"/>
        <v/>
      </c>
      <c r="CC45" s="88" t="str">
        <f t="shared" si="37"/>
        <v/>
      </c>
      <c r="CD45" s="88" t="str">
        <f t="shared" si="38"/>
        <v/>
      </c>
      <c r="CE45" s="88" t="str">
        <f t="shared" si="39"/>
        <v/>
      </c>
      <c r="CF45" s="88" t="str">
        <f t="shared" si="40"/>
        <v/>
      </c>
      <c r="CG45" s="88" t="str">
        <f t="shared" si="41"/>
        <v/>
      </c>
      <c r="CH45" s="88" t="str">
        <f t="shared" si="42"/>
        <v/>
      </c>
      <c r="CI45" s="790" t="str">
        <f t="shared" si="43"/>
        <v>0</v>
      </c>
      <c r="CJ45" s="791">
        <f t="shared" si="44"/>
        <v>0</v>
      </c>
      <c r="CK45" s="784" t="str">
        <f t="shared" si="45"/>
        <v>NA</v>
      </c>
      <c r="CL45" s="784" t="str">
        <f t="shared" si="46"/>
        <v/>
      </c>
      <c r="CM45" s="784" t="str">
        <f t="shared" si="218"/>
        <v/>
      </c>
      <c r="CN45" s="790" t="str">
        <f t="shared" si="47"/>
        <v/>
      </c>
      <c r="CO45" s="790" t="str">
        <f t="shared" si="48"/>
        <v/>
      </c>
      <c r="CP45" s="784" t="str">
        <f t="shared" si="49"/>
        <v/>
      </c>
      <c r="CQ45" s="790" t="str">
        <f t="shared" si="50"/>
        <v/>
      </c>
      <c r="CR45" s="524">
        <f t="shared" si="51"/>
        <v>0</v>
      </c>
      <c r="CS45" s="257" t="str">
        <f t="shared" si="219"/>
        <v/>
      </c>
      <c r="CT45" s="496">
        <f t="shared" si="238"/>
        <v>155.1</v>
      </c>
      <c r="CU45" s="496">
        <f t="shared" si="237"/>
        <v>155.1</v>
      </c>
      <c r="CV45" s="496">
        <f t="shared" si="220"/>
        <v>155.1</v>
      </c>
      <c r="CW45" s="495" t="str">
        <f t="shared" si="52"/>
        <v/>
      </c>
      <c r="CX45" s="497" t="str">
        <f t="shared" si="53"/>
        <v/>
      </c>
      <c r="CY45" s="496" t="str">
        <f t="shared" si="221"/>
        <v/>
      </c>
      <c r="CZ45" s="1456">
        <f t="shared" si="222"/>
        <v>1</v>
      </c>
      <c r="DA45" s="157" t="str">
        <f t="shared" si="223"/>
        <v/>
      </c>
      <c r="DB45" s="213" t="str">
        <f t="shared" si="224"/>
        <v/>
      </c>
      <c r="DC45" s="213" t="str">
        <f t="shared" si="225"/>
        <v/>
      </c>
      <c r="DD45" s="157" t="str">
        <f t="shared" si="54"/>
        <v/>
      </c>
      <c r="DE45" s="157" t="str">
        <f t="shared" si="55"/>
        <v/>
      </c>
      <c r="DF45" s="157" t="str">
        <f t="shared" si="56"/>
        <v/>
      </c>
      <c r="DG45" s="157" t="str">
        <f t="shared" si="57"/>
        <v/>
      </c>
      <c r="DH45" s="157" t="str">
        <f t="shared" si="58"/>
        <v/>
      </c>
      <c r="DI45" s="157" t="str">
        <f t="shared" si="59"/>
        <v/>
      </c>
      <c r="DJ45" s="157" t="str">
        <f t="shared" si="60"/>
        <v/>
      </c>
      <c r="DK45" s="157" t="str">
        <f t="shared" si="61"/>
        <v/>
      </c>
      <c r="DL45" s="157" t="str">
        <f t="shared" si="62"/>
        <v/>
      </c>
      <c r="DM45" s="157" t="str">
        <f t="shared" si="63"/>
        <v/>
      </c>
      <c r="DN45" s="33">
        <v>21</v>
      </c>
      <c r="DO45" s="1466" t="str">
        <f t="shared" si="226"/>
        <v/>
      </c>
      <c r="DP45" s="1014" t="str">
        <f t="shared" si="64"/>
        <v/>
      </c>
      <c r="DQ45" s="1026" t="str">
        <f t="shared" si="227"/>
        <v/>
      </c>
      <c r="DR45" s="1026" t="str">
        <f t="shared" si="228"/>
        <v/>
      </c>
      <c r="DS45" s="93" t="str">
        <f t="shared" si="65"/>
        <v/>
      </c>
      <c r="DT45" s="213" t="str">
        <f t="shared" si="66"/>
        <v/>
      </c>
      <c r="DU45" s="144" t="str">
        <f t="shared" si="67"/>
        <v/>
      </c>
      <c r="DV45" s="144" t="str">
        <f t="shared" si="68"/>
        <v/>
      </c>
      <c r="DW45" s="144" t="str">
        <f t="shared" si="69"/>
        <v/>
      </c>
      <c r="DX45" s="144" t="str">
        <f t="shared" si="70"/>
        <v/>
      </c>
      <c r="DY45" s="144" t="str">
        <f t="shared" si="71"/>
        <v/>
      </c>
      <c r="DZ45" s="144" t="str">
        <f t="shared" si="72"/>
        <v/>
      </c>
      <c r="EA45" s="144" t="str">
        <f t="shared" si="73"/>
        <v/>
      </c>
      <c r="EB45" s="144" t="str">
        <f t="shared" si="74"/>
        <v/>
      </c>
      <c r="EC45" s="144" t="str">
        <f t="shared" si="75"/>
        <v/>
      </c>
      <c r="ED45" s="144" t="str">
        <f t="shared" si="76"/>
        <v/>
      </c>
      <c r="EE45" s="144" t="str">
        <f t="shared" si="77"/>
        <v/>
      </c>
      <c r="EF45" s="144" t="str">
        <f t="shared" si="78"/>
        <v/>
      </c>
      <c r="EG45" s="144" t="str">
        <f t="shared" si="79"/>
        <v/>
      </c>
      <c r="EH45" s="144" t="str">
        <f t="shared" si="80"/>
        <v/>
      </c>
      <c r="EI45" s="144" t="str">
        <f t="shared" si="81"/>
        <v/>
      </c>
      <c r="EJ45" s="144" t="str">
        <f t="shared" si="82"/>
        <v/>
      </c>
      <c r="EK45" s="144" t="str">
        <f t="shared" si="83"/>
        <v/>
      </c>
      <c r="EL45" s="144" t="str">
        <f t="shared" si="84"/>
        <v/>
      </c>
      <c r="EM45" s="144" t="str">
        <f t="shared" si="85"/>
        <v/>
      </c>
      <c r="EN45" s="719" t="str">
        <f t="shared" si="86"/>
        <v/>
      </c>
      <c r="EO45" s="719" t="str">
        <f t="shared" si="87"/>
        <v/>
      </c>
      <c r="EP45" s="719" t="str">
        <f t="shared" si="88"/>
        <v/>
      </c>
      <c r="EQ45" s="719" t="str">
        <f t="shared" si="89"/>
        <v/>
      </c>
      <c r="ER45" s="719" t="str">
        <f t="shared" si="90"/>
        <v/>
      </c>
      <c r="EU45" s="33">
        <v>21</v>
      </c>
      <c r="EV45" s="735" t="str">
        <f t="shared" si="91"/>
        <v>Crítico</v>
      </c>
      <c r="EW45" s="741">
        <f t="shared" si="92"/>
        <v>1</v>
      </c>
      <c r="EX45" s="121" t="str">
        <f t="shared" si="93"/>
        <v>Crítico</v>
      </c>
      <c r="EY45" s="124">
        <f t="shared" si="229"/>
        <v>1</v>
      </c>
      <c r="EZ45" s="121" t="str">
        <f t="shared" si="94"/>
        <v>Crítico</v>
      </c>
      <c r="FA45" s="122">
        <f t="shared" si="95"/>
        <v>1</v>
      </c>
      <c r="FB45" s="18">
        <f t="shared" si="96"/>
        <v>0</v>
      </c>
      <c r="FC45" s="254" t="str">
        <f t="shared" si="97"/>
        <v/>
      </c>
      <c r="FD45" s="76" t="str">
        <f t="shared" si="230"/>
        <v/>
      </c>
      <c r="FE45" s="18">
        <f t="shared" si="231"/>
        <v>0</v>
      </c>
      <c r="FF45" s="703">
        <f t="shared" si="98"/>
        <v>0</v>
      </c>
      <c r="FG45" s="702">
        <f t="shared" si="99"/>
        <v>0</v>
      </c>
      <c r="FH45" s="19">
        <f t="shared" si="232"/>
        <v>0</v>
      </c>
      <c r="FI45" s="238" t="str">
        <f t="shared" si="233"/>
        <v/>
      </c>
      <c r="FJ45" s="701" t="str">
        <f t="shared" si="100"/>
        <v/>
      </c>
      <c r="FK45" s="66">
        <f t="shared" si="101"/>
        <v>0</v>
      </c>
      <c r="FL45" s="701" t="str">
        <f t="shared" si="102"/>
        <v/>
      </c>
      <c r="FM45" s="146" t="str">
        <f t="shared" si="103"/>
        <v/>
      </c>
      <c r="FN45" s="701" t="str">
        <f t="shared" si="104"/>
        <v/>
      </c>
      <c r="FO45" s="66">
        <f t="shared" si="105"/>
        <v>0</v>
      </c>
      <c r="FP45" s="701" t="str">
        <f t="shared" si="106"/>
        <v/>
      </c>
      <c r="FQ45" s="146" t="str">
        <f t="shared" si="107"/>
        <v/>
      </c>
      <c r="FR45" s="701" t="str">
        <f t="shared" si="108"/>
        <v/>
      </c>
      <c r="FS45" s="66">
        <f t="shared" si="109"/>
        <v>0</v>
      </c>
      <c r="FT45" s="701" t="str">
        <f t="shared" si="110"/>
        <v/>
      </c>
      <c r="FU45" s="146" t="str">
        <f t="shared" si="111"/>
        <v/>
      </c>
      <c r="FV45" s="701" t="str">
        <f t="shared" si="112"/>
        <v/>
      </c>
      <c r="FW45" s="66">
        <f t="shared" si="113"/>
        <v>0</v>
      </c>
      <c r="FX45" s="701" t="str">
        <f t="shared" si="114"/>
        <v/>
      </c>
      <c r="FY45" s="146" t="str">
        <f t="shared" si="115"/>
        <v/>
      </c>
      <c r="FZ45" s="701" t="str">
        <f t="shared" si="116"/>
        <v/>
      </c>
      <c r="GA45" s="66">
        <f t="shared" si="117"/>
        <v>0</v>
      </c>
      <c r="GB45" s="701" t="str">
        <f t="shared" si="118"/>
        <v/>
      </c>
      <c r="GC45" s="146" t="str">
        <f t="shared" si="119"/>
        <v/>
      </c>
      <c r="GD45" s="701" t="str">
        <f t="shared" si="120"/>
        <v/>
      </c>
      <c r="GE45" s="66">
        <f t="shared" si="121"/>
        <v>0</v>
      </c>
      <c r="GF45" s="701" t="str">
        <f t="shared" si="122"/>
        <v/>
      </c>
      <c r="GG45" s="146" t="str">
        <f t="shared" si="123"/>
        <v/>
      </c>
      <c r="GH45" s="701" t="str">
        <f t="shared" si="124"/>
        <v/>
      </c>
      <c r="GI45" s="66">
        <f t="shared" si="125"/>
        <v>0</v>
      </c>
      <c r="GJ45" s="701" t="str">
        <f t="shared" si="126"/>
        <v/>
      </c>
      <c r="GK45" s="146" t="str">
        <f t="shared" si="127"/>
        <v/>
      </c>
      <c r="GL45" s="701" t="str">
        <f t="shared" si="128"/>
        <v/>
      </c>
      <c r="GM45" s="66">
        <f t="shared" si="129"/>
        <v>0</v>
      </c>
      <c r="GN45" s="701" t="str">
        <f t="shared" si="130"/>
        <v/>
      </c>
      <c r="GO45" s="146" t="str">
        <f t="shared" si="131"/>
        <v/>
      </c>
      <c r="GP45" s="701" t="str">
        <f t="shared" si="132"/>
        <v/>
      </c>
      <c r="GQ45" s="66">
        <f t="shared" si="133"/>
        <v>0</v>
      </c>
      <c r="GR45" s="701" t="str">
        <f t="shared" si="134"/>
        <v/>
      </c>
      <c r="GS45" s="146" t="str">
        <f t="shared" si="135"/>
        <v/>
      </c>
      <c r="GT45" s="701" t="str">
        <f t="shared" si="136"/>
        <v/>
      </c>
      <c r="GU45" s="66">
        <f t="shared" si="137"/>
        <v>0</v>
      </c>
      <c r="GV45" s="701" t="str">
        <f t="shared" si="138"/>
        <v/>
      </c>
      <c r="GW45" s="146" t="str">
        <f t="shared" si="139"/>
        <v/>
      </c>
      <c r="GX45" s="701" t="str">
        <f t="shared" si="140"/>
        <v/>
      </c>
      <c r="GY45" s="66">
        <f t="shared" si="141"/>
        <v>0</v>
      </c>
      <c r="GZ45" s="701" t="str">
        <f t="shared" si="142"/>
        <v/>
      </c>
      <c r="HA45" s="146" t="str">
        <f t="shared" si="143"/>
        <v/>
      </c>
      <c r="HB45" s="701" t="str">
        <f t="shared" si="144"/>
        <v/>
      </c>
      <c r="HC45" s="66">
        <f t="shared" si="145"/>
        <v>0</v>
      </c>
      <c r="HD45" s="701" t="str">
        <f t="shared" si="146"/>
        <v/>
      </c>
      <c r="HE45" s="146" t="str">
        <f t="shared" si="147"/>
        <v/>
      </c>
      <c r="HF45" s="701" t="str">
        <f t="shared" si="148"/>
        <v/>
      </c>
      <c r="HG45" s="66">
        <f t="shared" si="149"/>
        <v>0</v>
      </c>
      <c r="HH45" s="701" t="str">
        <f t="shared" si="150"/>
        <v/>
      </c>
      <c r="HI45" s="146" t="str">
        <f t="shared" si="151"/>
        <v/>
      </c>
      <c r="HJ45" s="701" t="str">
        <f t="shared" si="152"/>
        <v/>
      </c>
      <c r="HK45" s="66">
        <f t="shared" si="153"/>
        <v>0</v>
      </c>
      <c r="HL45" s="701" t="str">
        <f t="shared" si="154"/>
        <v/>
      </c>
      <c r="HM45" s="146" t="str">
        <f t="shared" si="155"/>
        <v/>
      </c>
      <c r="HN45" s="701" t="str">
        <f t="shared" si="156"/>
        <v/>
      </c>
      <c r="HO45" s="66">
        <f t="shared" si="157"/>
        <v>0</v>
      </c>
      <c r="HP45" s="701" t="str">
        <f t="shared" si="158"/>
        <v/>
      </c>
      <c r="HQ45" s="146" t="str">
        <f t="shared" si="159"/>
        <v/>
      </c>
      <c r="HR45" s="701" t="str">
        <f t="shared" si="160"/>
        <v/>
      </c>
      <c r="HS45" s="66">
        <f t="shared" si="161"/>
        <v>0</v>
      </c>
      <c r="HT45" s="701" t="str">
        <f t="shared" si="162"/>
        <v/>
      </c>
      <c r="HU45" s="146" t="str">
        <f t="shared" si="163"/>
        <v/>
      </c>
      <c r="HV45" s="701" t="str">
        <f t="shared" si="164"/>
        <v/>
      </c>
      <c r="HW45" s="66">
        <f t="shared" si="165"/>
        <v>0</v>
      </c>
      <c r="HX45" s="701" t="str">
        <f t="shared" si="166"/>
        <v/>
      </c>
      <c r="HY45" s="146" t="str">
        <f t="shared" si="167"/>
        <v/>
      </c>
      <c r="HZ45" s="701" t="str">
        <f t="shared" si="168"/>
        <v/>
      </c>
      <c r="IA45" s="66">
        <f t="shared" si="169"/>
        <v>0</v>
      </c>
      <c r="IB45" s="701" t="str">
        <f t="shared" si="170"/>
        <v/>
      </c>
      <c r="IC45" s="146" t="str">
        <f t="shared" si="171"/>
        <v/>
      </c>
      <c r="ID45" s="701" t="str">
        <f t="shared" si="172"/>
        <v/>
      </c>
      <c r="IE45" s="66">
        <f t="shared" si="173"/>
        <v>0</v>
      </c>
      <c r="IF45" s="701" t="str">
        <f t="shared" si="174"/>
        <v/>
      </c>
      <c r="IG45" s="146" t="str">
        <f t="shared" si="175"/>
        <v/>
      </c>
      <c r="IH45" s="701" t="str">
        <f t="shared" si="176"/>
        <v/>
      </c>
      <c r="II45" s="66">
        <f t="shared" si="177"/>
        <v>0</v>
      </c>
      <c r="IJ45" s="701" t="str">
        <f t="shared" si="178"/>
        <v/>
      </c>
      <c r="IK45" s="146" t="str">
        <f t="shared" si="179"/>
        <v/>
      </c>
      <c r="IL45" s="701" t="str">
        <f t="shared" si="180"/>
        <v/>
      </c>
      <c r="IM45" s="66">
        <f t="shared" si="181"/>
        <v>0</v>
      </c>
      <c r="IN45" s="701" t="str">
        <f t="shared" si="182"/>
        <v/>
      </c>
      <c r="IO45" s="146" t="str">
        <f t="shared" si="183"/>
        <v/>
      </c>
      <c r="IP45" s="701" t="str">
        <f t="shared" si="184"/>
        <v/>
      </c>
      <c r="IQ45" s="66">
        <f t="shared" si="185"/>
        <v>0</v>
      </c>
      <c r="IR45" s="701" t="str">
        <f t="shared" si="186"/>
        <v/>
      </c>
      <c r="IS45" s="146" t="str">
        <f t="shared" si="187"/>
        <v/>
      </c>
      <c r="IT45" s="701" t="str">
        <f t="shared" si="188"/>
        <v/>
      </c>
      <c r="IU45" s="66">
        <f t="shared" si="189"/>
        <v>0</v>
      </c>
      <c r="IV45" s="701" t="str">
        <f t="shared" si="190"/>
        <v/>
      </c>
      <c r="IW45" s="146" t="str">
        <f t="shared" si="191"/>
        <v/>
      </c>
      <c r="IX45" s="701" t="str">
        <f t="shared" si="192"/>
        <v/>
      </c>
      <c r="IY45" s="66">
        <f t="shared" si="193"/>
        <v>0</v>
      </c>
    </row>
    <row r="46" spans="1:259" s="3" customFormat="1" ht="18" customHeight="1" thickTop="1" thickBot="1" x14ac:dyDescent="0.35">
      <c r="A46" s="1468" t="str">
        <f t="shared" si="194"/>
        <v/>
      </c>
      <c r="B46" s="780" t="str">
        <f t="shared" si="6"/>
        <v/>
      </c>
      <c r="D46" s="525" t="str">
        <f t="shared" si="234"/>
        <v/>
      </c>
      <c r="E46" s="522" t="str">
        <f>IF(DO75="","",SUM($DO$54:DO75))</f>
        <v/>
      </c>
      <c r="F46" s="843"/>
      <c r="G46" s="844"/>
      <c r="H46" s="840"/>
      <c r="I46" s="1228"/>
      <c r="J46" s="841"/>
      <c r="K46" s="842"/>
      <c r="L46" s="1270" t="str">
        <f>IF('Quadro 2'!G34="","",'Quadro 2'!G34)</f>
        <v/>
      </c>
      <c r="M46" s="1270" t="str">
        <f t="shared" si="195"/>
        <v/>
      </c>
      <c r="N46" s="1459" t="str">
        <f t="shared" si="196"/>
        <v/>
      </c>
      <c r="O46" s="1480" t="str">
        <f t="shared" si="197"/>
        <v/>
      </c>
      <c r="P46" s="1271" t="str">
        <f t="shared" si="198"/>
        <v/>
      </c>
      <c r="Q46" s="1489" t="str">
        <f t="shared" si="199"/>
        <v/>
      </c>
      <c r="R46" s="1426" t="str">
        <f t="shared" si="7"/>
        <v/>
      </c>
      <c r="S46" s="848" t="str">
        <f t="shared" si="241"/>
        <v/>
      </c>
      <c r="T46" s="58" t="str">
        <f t="shared" si="9"/>
        <v/>
      </c>
      <c r="U46" s="1133"/>
      <c r="V46" s="143" t="str">
        <f t="shared" si="200"/>
        <v/>
      </c>
      <c r="W46" s="849" t="str">
        <f>IF(OR(H46="",V46="",V46=0),"",IF($V46&gt;'Quadro 1'!$G$23,'Quadro 1'!$G$23,IF($V46&lt;'Quadro 1'!$G$10,'Quadro 1'!$G$10,MIN($X46,$Y46))))</f>
        <v/>
      </c>
      <c r="X46" s="850" t="str">
        <f>IF($V46&lt;='Quadro 1'!$G$10,'Quadro 1'!$G$10,IF($V46&lt;='Quadro 1'!$G$11,'Quadro 1'!$G$11,IF($V46&lt;='Quadro 1'!$G$12,'Quadro 1'!$G$12,IF($V46&lt;='Quadro 1'!$G$13,'Quadro 1'!$G$13,IF($V46&lt;='Quadro 1'!$G$14,'Quadro 1'!$G$14,IF($V46&lt;='Quadro 1'!$G$15,'Quadro 1'!$G$15,IF($V46&lt;='Quadro 1'!$G$16,'Quadro 1'!$G$16,"")))))))</f>
        <v/>
      </c>
      <c r="Y46" s="851" t="str">
        <f>IF(OR(V46="",V46=0),"",IF($V46&lt;='Quadro 1'!$G$17,'Quadro 1'!$G$17,IF($V46&lt;='Quadro 1'!$G$18,'Quadro 1'!$G$18,IF($V46&lt;='Quadro 1'!$G$19,'Quadro 1'!$G$19,IF($V46&lt;='Quadro 1'!$G$20,'Quadro 1'!$G$20,IF($V46&lt;='Quadro 1'!$G$21,'Quadro 1'!$G$21,IF($V46&lt;='Quadro 1'!$G$22,'Quadro 1'!$G$22,IF($V46&lt;='Quadro 1'!$G$23,'Quadro 1'!$G$23,'Quadro 1'!$G$23))))))))</f>
        <v/>
      </c>
      <c r="Z46" s="852" t="str">
        <f>IF(W46="","",LOOKUP(W46,'Quadro 1'!$G$9:$G$23,'Quadro 1'!$H$9:$H$23))</f>
        <v/>
      </c>
      <c r="AA46" s="1417" t="str">
        <f>IF(W46="","",LOOKUP(W46,'Quadro 1'!$G$9:$G$23,'Quadro 1'!$D$9:$D$23))</f>
        <v/>
      </c>
      <c r="AB46" s="853" t="str">
        <f>IF(W46="","",LOOKUP(W46,'Quadro 1'!$G$9:$G$23,'Quadro 1'!$E$9:$E$23))</f>
        <v/>
      </c>
      <c r="AC46" s="1272" t="str">
        <f t="shared" si="201"/>
        <v/>
      </c>
      <c r="AD46" s="1274" t="str">
        <f t="shared" si="240"/>
        <v/>
      </c>
      <c r="AE46" s="1392" t="str">
        <f t="shared" si="202"/>
        <v/>
      </c>
      <c r="AF46" s="1395" t="str">
        <f t="shared" si="203"/>
        <v/>
      </c>
      <c r="AG46" s="1396" t="str">
        <f t="shared" si="204"/>
        <v/>
      </c>
      <c r="AH46" s="1398" t="str">
        <f t="shared" si="11"/>
        <v/>
      </c>
      <c r="AI46" s="1490" t="str">
        <f t="shared" si="235"/>
        <v/>
      </c>
      <c r="AJ46" s="1502" t="str">
        <f t="shared" si="239"/>
        <v/>
      </c>
      <c r="AK46" s="1503"/>
      <c r="AL46" s="1503"/>
      <c r="AM46" s="1504"/>
      <c r="AN46" s="1275" t="str">
        <f t="shared" si="12"/>
        <v/>
      </c>
      <c r="AO46" s="1502" t="str">
        <f t="shared" si="13"/>
        <v/>
      </c>
      <c r="AP46" s="1507"/>
      <c r="AQ46" s="1504"/>
      <c r="AR46" s="847"/>
      <c r="AS46" s="1258">
        <f t="shared" si="206"/>
        <v>0</v>
      </c>
      <c r="AT46" s="1256">
        <f t="shared" si="207"/>
        <v>0</v>
      </c>
      <c r="AU46" s="1381">
        <f t="shared" si="242"/>
        <v>1</v>
      </c>
      <c r="AV46" s="157" t="str">
        <f t="shared" si="14"/>
        <v/>
      </c>
      <c r="AW46" s="87" t="str">
        <f t="shared" si="236"/>
        <v/>
      </c>
      <c r="AX46" s="87" t="str">
        <f t="shared" si="15"/>
        <v/>
      </c>
      <c r="AY46" s="1341" t="str">
        <f t="shared" si="209"/>
        <v/>
      </c>
      <c r="AZ46" s="701">
        <f t="shared" si="210"/>
        <v>1</v>
      </c>
      <c r="BA46" s="1338" t="str">
        <f t="shared" si="211"/>
        <v/>
      </c>
      <c r="BB46" s="1335" t="str">
        <f t="shared" si="212"/>
        <v/>
      </c>
      <c r="BC46" s="86" t="str">
        <f t="shared" si="213"/>
        <v/>
      </c>
      <c r="BD46" s="701">
        <f t="shared" si="214"/>
        <v>1</v>
      </c>
      <c r="BE46" s="1273" t="str">
        <f t="shared" si="215"/>
        <v/>
      </c>
      <c r="BF46" s="86" t="str">
        <f t="shared" si="16"/>
        <v/>
      </c>
      <c r="BG46" s="57" t="str">
        <f t="shared" si="17"/>
        <v/>
      </c>
      <c r="BH46" s="1329">
        <f t="shared" si="216"/>
        <v>0</v>
      </c>
      <c r="BI46" s="88">
        <f t="shared" si="217"/>
        <v>0</v>
      </c>
      <c r="BJ46" s="88" t="str">
        <f t="shared" si="18"/>
        <v/>
      </c>
      <c r="BK46" s="88" t="str">
        <f t="shared" si="19"/>
        <v/>
      </c>
      <c r="BL46" s="88" t="str">
        <f t="shared" si="20"/>
        <v/>
      </c>
      <c r="BM46" s="88" t="str">
        <f t="shared" si="21"/>
        <v/>
      </c>
      <c r="BN46" s="88" t="str">
        <f t="shared" si="22"/>
        <v/>
      </c>
      <c r="BO46" s="88" t="str">
        <f t="shared" si="23"/>
        <v/>
      </c>
      <c r="BP46" s="88" t="str">
        <f t="shared" si="24"/>
        <v/>
      </c>
      <c r="BQ46" s="88" t="str">
        <f t="shared" si="25"/>
        <v/>
      </c>
      <c r="BR46" s="88" t="str">
        <f t="shared" si="26"/>
        <v/>
      </c>
      <c r="BS46" s="88" t="str">
        <f t="shared" si="27"/>
        <v/>
      </c>
      <c r="BT46" s="88" t="str">
        <f t="shared" si="28"/>
        <v/>
      </c>
      <c r="BU46" s="88" t="str">
        <f t="shared" si="29"/>
        <v/>
      </c>
      <c r="BV46" s="88" t="str">
        <f t="shared" si="30"/>
        <v/>
      </c>
      <c r="BW46" s="88" t="str">
        <f t="shared" si="31"/>
        <v/>
      </c>
      <c r="BX46" s="88" t="str">
        <f t="shared" si="32"/>
        <v/>
      </c>
      <c r="BY46" s="88" t="str">
        <f t="shared" si="33"/>
        <v/>
      </c>
      <c r="BZ46" s="88" t="str">
        <f t="shared" si="34"/>
        <v/>
      </c>
      <c r="CA46" s="88" t="str">
        <f t="shared" si="35"/>
        <v/>
      </c>
      <c r="CB46" s="88" t="str">
        <f t="shared" si="36"/>
        <v/>
      </c>
      <c r="CC46" s="88" t="str">
        <f t="shared" si="37"/>
        <v/>
      </c>
      <c r="CD46" s="88" t="str">
        <f t="shared" si="38"/>
        <v/>
      </c>
      <c r="CE46" s="88" t="str">
        <f t="shared" si="39"/>
        <v/>
      </c>
      <c r="CF46" s="88" t="str">
        <f t="shared" si="40"/>
        <v/>
      </c>
      <c r="CG46" s="88" t="str">
        <f t="shared" si="41"/>
        <v/>
      </c>
      <c r="CH46" s="88" t="str">
        <f t="shared" si="42"/>
        <v/>
      </c>
      <c r="CI46" s="790" t="str">
        <f t="shared" si="43"/>
        <v>0</v>
      </c>
      <c r="CJ46" s="791">
        <f t="shared" si="44"/>
        <v>0</v>
      </c>
      <c r="CK46" s="784" t="str">
        <f t="shared" si="45"/>
        <v>NA</v>
      </c>
      <c r="CL46" s="784" t="str">
        <f t="shared" si="46"/>
        <v/>
      </c>
      <c r="CM46" s="784" t="str">
        <f t="shared" si="218"/>
        <v/>
      </c>
      <c r="CN46" s="790" t="str">
        <f t="shared" si="47"/>
        <v/>
      </c>
      <c r="CO46" s="790" t="str">
        <f t="shared" si="48"/>
        <v/>
      </c>
      <c r="CP46" s="784" t="str">
        <f t="shared" si="49"/>
        <v/>
      </c>
      <c r="CQ46" s="790" t="str">
        <f t="shared" si="50"/>
        <v/>
      </c>
      <c r="CR46" s="524">
        <f t="shared" si="51"/>
        <v>0</v>
      </c>
      <c r="CS46" s="257" t="str">
        <f t="shared" si="219"/>
        <v/>
      </c>
      <c r="CT46" s="496">
        <f t="shared" si="238"/>
        <v>155.1</v>
      </c>
      <c r="CU46" s="496">
        <f t="shared" si="237"/>
        <v>155.1</v>
      </c>
      <c r="CV46" s="496">
        <f t="shared" si="220"/>
        <v>155.1</v>
      </c>
      <c r="CW46" s="495" t="str">
        <f t="shared" si="52"/>
        <v/>
      </c>
      <c r="CX46" s="497" t="str">
        <f t="shared" si="53"/>
        <v/>
      </c>
      <c r="CY46" s="496" t="str">
        <f t="shared" si="221"/>
        <v/>
      </c>
      <c r="CZ46" s="1456">
        <f t="shared" si="222"/>
        <v>1</v>
      </c>
      <c r="DA46" s="157" t="str">
        <f t="shared" si="223"/>
        <v/>
      </c>
      <c r="DB46" s="213" t="str">
        <f t="shared" si="224"/>
        <v/>
      </c>
      <c r="DC46" s="213" t="str">
        <f t="shared" si="225"/>
        <v/>
      </c>
      <c r="DD46" s="157" t="str">
        <f t="shared" si="54"/>
        <v/>
      </c>
      <c r="DE46" s="157" t="str">
        <f t="shared" si="55"/>
        <v/>
      </c>
      <c r="DF46" s="157" t="str">
        <f t="shared" si="56"/>
        <v/>
      </c>
      <c r="DG46" s="157" t="str">
        <f t="shared" si="57"/>
        <v/>
      </c>
      <c r="DH46" s="157" t="str">
        <f t="shared" si="58"/>
        <v/>
      </c>
      <c r="DI46" s="157" t="str">
        <f t="shared" si="59"/>
        <v/>
      </c>
      <c r="DJ46" s="157" t="str">
        <f t="shared" si="60"/>
        <v/>
      </c>
      <c r="DK46" s="157" t="str">
        <f t="shared" si="61"/>
        <v/>
      </c>
      <c r="DL46" s="157" t="str">
        <f t="shared" si="62"/>
        <v/>
      </c>
      <c r="DM46" s="157" t="str">
        <f t="shared" si="63"/>
        <v/>
      </c>
      <c r="DN46" s="33">
        <v>22</v>
      </c>
      <c r="DO46" s="1466" t="str">
        <f t="shared" si="226"/>
        <v/>
      </c>
      <c r="DP46" s="1014" t="str">
        <f t="shared" si="64"/>
        <v/>
      </c>
      <c r="DQ46" s="1026" t="str">
        <f t="shared" si="227"/>
        <v/>
      </c>
      <c r="DR46" s="1026" t="str">
        <f t="shared" si="228"/>
        <v/>
      </c>
      <c r="DS46" s="93" t="str">
        <f t="shared" si="65"/>
        <v/>
      </c>
      <c r="DT46" s="213" t="str">
        <f t="shared" si="66"/>
        <v/>
      </c>
      <c r="DU46" s="144" t="str">
        <f t="shared" si="67"/>
        <v/>
      </c>
      <c r="DV46" s="144" t="str">
        <f t="shared" si="68"/>
        <v/>
      </c>
      <c r="DW46" s="144" t="str">
        <f t="shared" si="69"/>
        <v/>
      </c>
      <c r="DX46" s="144" t="str">
        <f t="shared" si="70"/>
        <v/>
      </c>
      <c r="DY46" s="144" t="str">
        <f t="shared" si="71"/>
        <v/>
      </c>
      <c r="DZ46" s="144" t="str">
        <f t="shared" si="72"/>
        <v/>
      </c>
      <c r="EA46" s="144" t="str">
        <f t="shared" si="73"/>
        <v/>
      </c>
      <c r="EB46" s="144" t="str">
        <f t="shared" si="74"/>
        <v/>
      </c>
      <c r="EC46" s="144" t="str">
        <f t="shared" si="75"/>
        <v/>
      </c>
      <c r="ED46" s="144" t="str">
        <f t="shared" si="76"/>
        <v/>
      </c>
      <c r="EE46" s="144" t="str">
        <f t="shared" si="77"/>
        <v/>
      </c>
      <c r="EF46" s="144" t="str">
        <f t="shared" si="78"/>
        <v/>
      </c>
      <c r="EG46" s="144" t="str">
        <f t="shared" si="79"/>
        <v/>
      </c>
      <c r="EH46" s="144" t="str">
        <f t="shared" si="80"/>
        <v/>
      </c>
      <c r="EI46" s="144" t="str">
        <f t="shared" si="81"/>
        <v/>
      </c>
      <c r="EJ46" s="144" t="str">
        <f t="shared" si="82"/>
        <v/>
      </c>
      <c r="EK46" s="144" t="str">
        <f t="shared" si="83"/>
        <v/>
      </c>
      <c r="EL46" s="144" t="str">
        <f t="shared" si="84"/>
        <v/>
      </c>
      <c r="EM46" s="144" t="str">
        <f t="shared" si="85"/>
        <v/>
      </c>
      <c r="EN46" s="719" t="str">
        <f t="shared" si="86"/>
        <v/>
      </c>
      <c r="EO46" s="719" t="str">
        <f t="shared" si="87"/>
        <v/>
      </c>
      <c r="EP46" s="719" t="str">
        <f t="shared" si="88"/>
        <v/>
      </c>
      <c r="EQ46" s="719" t="str">
        <f t="shared" si="89"/>
        <v/>
      </c>
      <c r="ER46" s="719" t="str">
        <f t="shared" si="90"/>
        <v/>
      </c>
      <c r="EU46" s="33">
        <v>22</v>
      </c>
      <c r="EV46" s="735" t="str">
        <f t="shared" si="91"/>
        <v>Crítico</v>
      </c>
      <c r="EW46" s="741">
        <f t="shared" si="92"/>
        <v>1</v>
      </c>
      <c r="EX46" s="121" t="str">
        <f t="shared" si="93"/>
        <v>Crítico</v>
      </c>
      <c r="EY46" s="124">
        <f t="shared" si="229"/>
        <v>1</v>
      </c>
      <c r="EZ46" s="121" t="str">
        <f t="shared" si="94"/>
        <v>Crítico</v>
      </c>
      <c r="FA46" s="122">
        <f t="shared" si="95"/>
        <v>1</v>
      </c>
      <c r="FB46" s="18">
        <f t="shared" si="96"/>
        <v>0</v>
      </c>
      <c r="FC46" s="254" t="str">
        <f t="shared" si="97"/>
        <v/>
      </c>
      <c r="FD46" s="76" t="str">
        <f t="shared" si="230"/>
        <v/>
      </c>
      <c r="FE46" s="18">
        <f t="shared" si="231"/>
        <v>0</v>
      </c>
      <c r="FF46" s="703">
        <f t="shared" si="98"/>
        <v>0</v>
      </c>
      <c r="FG46" s="702">
        <f t="shared" si="99"/>
        <v>0</v>
      </c>
      <c r="FH46" s="19">
        <f t="shared" si="232"/>
        <v>0</v>
      </c>
      <c r="FI46" s="238" t="str">
        <f t="shared" si="233"/>
        <v/>
      </c>
      <c r="FJ46" s="701" t="str">
        <f t="shared" si="100"/>
        <v/>
      </c>
      <c r="FK46" s="66">
        <f t="shared" si="101"/>
        <v>0</v>
      </c>
      <c r="FL46" s="701" t="str">
        <f t="shared" si="102"/>
        <v/>
      </c>
      <c r="FM46" s="146" t="str">
        <f t="shared" si="103"/>
        <v/>
      </c>
      <c r="FN46" s="701" t="str">
        <f t="shared" si="104"/>
        <v/>
      </c>
      <c r="FO46" s="66">
        <f t="shared" si="105"/>
        <v>0</v>
      </c>
      <c r="FP46" s="701" t="str">
        <f t="shared" si="106"/>
        <v/>
      </c>
      <c r="FQ46" s="146" t="str">
        <f t="shared" si="107"/>
        <v/>
      </c>
      <c r="FR46" s="701" t="str">
        <f t="shared" si="108"/>
        <v/>
      </c>
      <c r="FS46" s="66">
        <f t="shared" si="109"/>
        <v>0</v>
      </c>
      <c r="FT46" s="701" t="str">
        <f t="shared" si="110"/>
        <v/>
      </c>
      <c r="FU46" s="146" t="str">
        <f t="shared" si="111"/>
        <v/>
      </c>
      <c r="FV46" s="701" t="str">
        <f t="shared" si="112"/>
        <v/>
      </c>
      <c r="FW46" s="66">
        <f t="shared" si="113"/>
        <v>0</v>
      </c>
      <c r="FX46" s="701" t="str">
        <f t="shared" si="114"/>
        <v/>
      </c>
      <c r="FY46" s="146" t="str">
        <f t="shared" si="115"/>
        <v/>
      </c>
      <c r="FZ46" s="701" t="str">
        <f t="shared" si="116"/>
        <v/>
      </c>
      <c r="GA46" s="66">
        <f t="shared" si="117"/>
        <v>0</v>
      </c>
      <c r="GB46" s="701" t="str">
        <f t="shared" si="118"/>
        <v/>
      </c>
      <c r="GC46" s="146" t="str">
        <f t="shared" si="119"/>
        <v/>
      </c>
      <c r="GD46" s="701" t="str">
        <f t="shared" si="120"/>
        <v/>
      </c>
      <c r="GE46" s="66">
        <f t="shared" si="121"/>
        <v>0</v>
      </c>
      <c r="GF46" s="701" t="str">
        <f t="shared" si="122"/>
        <v/>
      </c>
      <c r="GG46" s="146" t="str">
        <f t="shared" si="123"/>
        <v/>
      </c>
      <c r="GH46" s="701" t="str">
        <f t="shared" si="124"/>
        <v/>
      </c>
      <c r="GI46" s="66">
        <f t="shared" si="125"/>
        <v>0</v>
      </c>
      <c r="GJ46" s="701" t="str">
        <f t="shared" si="126"/>
        <v/>
      </c>
      <c r="GK46" s="146" t="str">
        <f t="shared" si="127"/>
        <v/>
      </c>
      <c r="GL46" s="701" t="str">
        <f t="shared" si="128"/>
        <v/>
      </c>
      <c r="GM46" s="66">
        <f t="shared" si="129"/>
        <v>0</v>
      </c>
      <c r="GN46" s="701" t="str">
        <f t="shared" si="130"/>
        <v/>
      </c>
      <c r="GO46" s="146" t="str">
        <f t="shared" si="131"/>
        <v/>
      </c>
      <c r="GP46" s="701" t="str">
        <f t="shared" si="132"/>
        <v/>
      </c>
      <c r="GQ46" s="66">
        <f t="shared" si="133"/>
        <v>0</v>
      </c>
      <c r="GR46" s="701" t="str">
        <f t="shared" si="134"/>
        <v/>
      </c>
      <c r="GS46" s="146" t="str">
        <f t="shared" si="135"/>
        <v/>
      </c>
      <c r="GT46" s="701" t="str">
        <f t="shared" si="136"/>
        <v/>
      </c>
      <c r="GU46" s="66">
        <f t="shared" si="137"/>
        <v>0</v>
      </c>
      <c r="GV46" s="701" t="str">
        <f t="shared" si="138"/>
        <v/>
      </c>
      <c r="GW46" s="146" t="str">
        <f t="shared" si="139"/>
        <v/>
      </c>
      <c r="GX46" s="701" t="str">
        <f t="shared" si="140"/>
        <v/>
      </c>
      <c r="GY46" s="66">
        <f t="shared" si="141"/>
        <v>0</v>
      </c>
      <c r="GZ46" s="701" t="str">
        <f t="shared" si="142"/>
        <v/>
      </c>
      <c r="HA46" s="146" t="str">
        <f t="shared" si="143"/>
        <v/>
      </c>
      <c r="HB46" s="701" t="str">
        <f t="shared" si="144"/>
        <v/>
      </c>
      <c r="HC46" s="66">
        <f t="shared" si="145"/>
        <v>0</v>
      </c>
      <c r="HD46" s="701" t="str">
        <f t="shared" si="146"/>
        <v/>
      </c>
      <c r="HE46" s="146" t="str">
        <f t="shared" si="147"/>
        <v/>
      </c>
      <c r="HF46" s="701" t="str">
        <f t="shared" si="148"/>
        <v/>
      </c>
      <c r="HG46" s="66">
        <f t="shared" si="149"/>
        <v>0</v>
      </c>
      <c r="HH46" s="701" t="str">
        <f t="shared" si="150"/>
        <v/>
      </c>
      <c r="HI46" s="146" t="str">
        <f t="shared" si="151"/>
        <v/>
      </c>
      <c r="HJ46" s="701" t="str">
        <f t="shared" si="152"/>
        <v/>
      </c>
      <c r="HK46" s="66">
        <f t="shared" si="153"/>
        <v>0</v>
      </c>
      <c r="HL46" s="701" t="str">
        <f t="shared" si="154"/>
        <v/>
      </c>
      <c r="HM46" s="146" t="str">
        <f t="shared" si="155"/>
        <v/>
      </c>
      <c r="HN46" s="701" t="str">
        <f t="shared" si="156"/>
        <v/>
      </c>
      <c r="HO46" s="66">
        <f t="shared" si="157"/>
        <v>0</v>
      </c>
      <c r="HP46" s="701" t="str">
        <f t="shared" si="158"/>
        <v/>
      </c>
      <c r="HQ46" s="146" t="str">
        <f t="shared" si="159"/>
        <v/>
      </c>
      <c r="HR46" s="701" t="str">
        <f t="shared" si="160"/>
        <v/>
      </c>
      <c r="HS46" s="66">
        <f t="shared" si="161"/>
        <v>0</v>
      </c>
      <c r="HT46" s="701" t="str">
        <f t="shared" si="162"/>
        <v/>
      </c>
      <c r="HU46" s="146" t="str">
        <f t="shared" si="163"/>
        <v/>
      </c>
      <c r="HV46" s="701" t="str">
        <f t="shared" si="164"/>
        <v/>
      </c>
      <c r="HW46" s="66">
        <f t="shared" si="165"/>
        <v>0</v>
      </c>
      <c r="HX46" s="701" t="str">
        <f t="shared" si="166"/>
        <v/>
      </c>
      <c r="HY46" s="146" t="str">
        <f t="shared" si="167"/>
        <v/>
      </c>
      <c r="HZ46" s="701" t="str">
        <f t="shared" si="168"/>
        <v/>
      </c>
      <c r="IA46" s="66">
        <f t="shared" si="169"/>
        <v>0</v>
      </c>
      <c r="IB46" s="701" t="str">
        <f t="shared" si="170"/>
        <v/>
      </c>
      <c r="IC46" s="146" t="str">
        <f t="shared" si="171"/>
        <v/>
      </c>
      <c r="ID46" s="701" t="str">
        <f t="shared" si="172"/>
        <v/>
      </c>
      <c r="IE46" s="66">
        <f t="shared" si="173"/>
        <v>0</v>
      </c>
      <c r="IF46" s="701" t="str">
        <f t="shared" si="174"/>
        <v/>
      </c>
      <c r="IG46" s="146" t="str">
        <f t="shared" si="175"/>
        <v/>
      </c>
      <c r="IH46" s="701" t="str">
        <f t="shared" si="176"/>
        <v/>
      </c>
      <c r="II46" s="66">
        <f t="shared" si="177"/>
        <v>0</v>
      </c>
      <c r="IJ46" s="701" t="str">
        <f t="shared" si="178"/>
        <v/>
      </c>
      <c r="IK46" s="146" t="str">
        <f t="shared" si="179"/>
        <v/>
      </c>
      <c r="IL46" s="701" t="str">
        <f t="shared" si="180"/>
        <v/>
      </c>
      <c r="IM46" s="66">
        <f t="shared" si="181"/>
        <v>0</v>
      </c>
      <c r="IN46" s="701" t="str">
        <f t="shared" si="182"/>
        <v/>
      </c>
      <c r="IO46" s="146" t="str">
        <f t="shared" si="183"/>
        <v/>
      </c>
      <c r="IP46" s="701" t="str">
        <f t="shared" si="184"/>
        <v/>
      </c>
      <c r="IQ46" s="66">
        <f t="shared" si="185"/>
        <v>0</v>
      </c>
      <c r="IR46" s="701" t="str">
        <f t="shared" si="186"/>
        <v/>
      </c>
      <c r="IS46" s="146" t="str">
        <f t="shared" si="187"/>
        <v/>
      </c>
      <c r="IT46" s="701" t="str">
        <f t="shared" si="188"/>
        <v/>
      </c>
      <c r="IU46" s="66">
        <f t="shared" si="189"/>
        <v>0</v>
      </c>
      <c r="IV46" s="701" t="str">
        <f t="shared" si="190"/>
        <v/>
      </c>
      <c r="IW46" s="146" t="str">
        <f t="shared" si="191"/>
        <v/>
      </c>
      <c r="IX46" s="701" t="str">
        <f t="shared" si="192"/>
        <v/>
      </c>
      <c r="IY46" s="66">
        <f t="shared" si="193"/>
        <v>0</v>
      </c>
    </row>
    <row r="47" spans="1:259" s="3" customFormat="1" ht="18" customHeight="1" thickTop="1" thickBot="1" x14ac:dyDescent="0.35">
      <c r="A47" s="1468" t="str">
        <f t="shared" si="194"/>
        <v/>
      </c>
      <c r="B47" s="780" t="str">
        <f t="shared" si="6"/>
        <v/>
      </c>
      <c r="D47" s="525" t="str">
        <f t="shared" si="234"/>
        <v/>
      </c>
      <c r="E47" s="522" t="str">
        <f>IF(DO76="","",SUM($DO$54:DO76))</f>
        <v/>
      </c>
      <c r="F47" s="843"/>
      <c r="G47" s="844"/>
      <c r="H47" s="840"/>
      <c r="I47" s="1228"/>
      <c r="J47" s="841"/>
      <c r="K47" s="842"/>
      <c r="L47" s="1270" t="str">
        <f>IF('Quadro 2'!G35="","",'Quadro 2'!G35)</f>
        <v/>
      </c>
      <c r="M47" s="1270" t="str">
        <f t="shared" si="195"/>
        <v/>
      </c>
      <c r="N47" s="1459" t="str">
        <f t="shared" si="196"/>
        <v/>
      </c>
      <c r="O47" s="1480" t="str">
        <f t="shared" si="197"/>
        <v/>
      </c>
      <c r="P47" s="1271" t="str">
        <f t="shared" si="198"/>
        <v/>
      </c>
      <c r="Q47" s="1489" t="str">
        <f t="shared" si="199"/>
        <v/>
      </c>
      <c r="R47" s="1426" t="str">
        <f t="shared" si="7"/>
        <v/>
      </c>
      <c r="S47" s="848" t="str">
        <f t="shared" si="241"/>
        <v/>
      </c>
      <c r="T47" s="58" t="str">
        <f t="shared" si="9"/>
        <v/>
      </c>
      <c r="U47" s="1133"/>
      <c r="V47" s="143" t="str">
        <f t="shared" si="200"/>
        <v/>
      </c>
      <c r="W47" s="849" t="str">
        <f>IF(OR(H47="",V47="",V47=0),"",IF($V47&gt;'Quadro 1'!$G$23,'Quadro 1'!$G$23,IF($V47&lt;'Quadro 1'!$G$10,'Quadro 1'!$G$10,MIN($X47,$Y47))))</f>
        <v/>
      </c>
      <c r="X47" s="850" t="str">
        <f>IF($V47&lt;='Quadro 1'!$G$10,'Quadro 1'!$G$10,IF($V47&lt;='Quadro 1'!$G$11,'Quadro 1'!$G$11,IF($V47&lt;='Quadro 1'!$G$12,'Quadro 1'!$G$12,IF($V47&lt;='Quadro 1'!$G$13,'Quadro 1'!$G$13,IF($V47&lt;='Quadro 1'!$G$14,'Quadro 1'!$G$14,IF($V47&lt;='Quadro 1'!$G$15,'Quadro 1'!$G$15,IF($V47&lt;='Quadro 1'!$G$16,'Quadro 1'!$G$16,"")))))))</f>
        <v/>
      </c>
      <c r="Y47" s="851" t="str">
        <f>IF(OR(V47="",V47=0),"",IF($V47&lt;='Quadro 1'!$G$17,'Quadro 1'!$G$17,IF($V47&lt;='Quadro 1'!$G$18,'Quadro 1'!$G$18,IF($V47&lt;='Quadro 1'!$G$19,'Quadro 1'!$G$19,IF($V47&lt;='Quadro 1'!$G$20,'Quadro 1'!$G$20,IF($V47&lt;='Quadro 1'!$G$21,'Quadro 1'!$G$21,IF($V47&lt;='Quadro 1'!$G$22,'Quadro 1'!$G$22,IF($V47&lt;='Quadro 1'!$G$23,'Quadro 1'!$G$23,'Quadro 1'!$G$23))))))))</f>
        <v/>
      </c>
      <c r="Z47" s="852" t="str">
        <f>IF(W47="","",LOOKUP(W47,'Quadro 1'!$G$9:$G$23,'Quadro 1'!$H$9:$H$23))</f>
        <v/>
      </c>
      <c r="AA47" s="1417" t="str">
        <f>IF(W47="","",LOOKUP(W47,'Quadro 1'!$G$9:$G$23,'Quadro 1'!$D$9:$D$23))</f>
        <v/>
      </c>
      <c r="AB47" s="853" t="str">
        <f>IF(W47="","",LOOKUP(W47,'Quadro 1'!$G$9:$G$23,'Quadro 1'!$E$9:$E$23))</f>
        <v/>
      </c>
      <c r="AC47" s="1272" t="str">
        <f t="shared" si="201"/>
        <v/>
      </c>
      <c r="AD47" s="1274" t="str">
        <f t="shared" si="240"/>
        <v/>
      </c>
      <c r="AE47" s="1392" t="str">
        <f t="shared" si="202"/>
        <v/>
      </c>
      <c r="AF47" s="1395" t="str">
        <f t="shared" si="203"/>
        <v/>
      </c>
      <c r="AG47" s="1396" t="str">
        <f t="shared" si="204"/>
        <v/>
      </c>
      <c r="AH47" s="1398" t="str">
        <f t="shared" si="11"/>
        <v/>
      </c>
      <c r="AI47" s="1490" t="str">
        <f t="shared" si="235"/>
        <v/>
      </c>
      <c r="AJ47" s="1502" t="str">
        <f t="shared" si="239"/>
        <v/>
      </c>
      <c r="AK47" s="1503"/>
      <c r="AL47" s="1503"/>
      <c r="AM47" s="1504"/>
      <c r="AN47" s="1275" t="str">
        <f t="shared" si="12"/>
        <v/>
      </c>
      <c r="AO47" s="1502" t="str">
        <f t="shared" si="13"/>
        <v/>
      </c>
      <c r="AP47" s="1507"/>
      <c r="AQ47" s="1504"/>
      <c r="AR47" s="847"/>
      <c r="AS47" s="1258">
        <f t="shared" si="206"/>
        <v>0</v>
      </c>
      <c r="AT47" s="1256">
        <f t="shared" si="207"/>
        <v>0</v>
      </c>
      <c r="AU47" s="1381">
        <f t="shared" si="242"/>
        <v>1</v>
      </c>
      <c r="AV47" s="157" t="str">
        <f t="shared" si="14"/>
        <v/>
      </c>
      <c r="AW47" s="87" t="str">
        <f t="shared" si="236"/>
        <v/>
      </c>
      <c r="AX47" s="87" t="str">
        <f t="shared" si="15"/>
        <v/>
      </c>
      <c r="AY47" s="1341" t="str">
        <f t="shared" si="209"/>
        <v/>
      </c>
      <c r="AZ47" s="701">
        <f t="shared" si="210"/>
        <v>1</v>
      </c>
      <c r="BA47" s="1338" t="str">
        <f t="shared" si="211"/>
        <v/>
      </c>
      <c r="BB47" s="1335" t="str">
        <f t="shared" si="212"/>
        <v/>
      </c>
      <c r="BC47" s="86" t="str">
        <f t="shared" si="213"/>
        <v/>
      </c>
      <c r="BD47" s="701">
        <f t="shared" si="214"/>
        <v>1</v>
      </c>
      <c r="BE47" s="1273" t="str">
        <f t="shared" si="215"/>
        <v/>
      </c>
      <c r="BF47" s="86" t="str">
        <f t="shared" si="16"/>
        <v/>
      </c>
      <c r="BG47" s="57" t="str">
        <f t="shared" si="17"/>
        <v/>
      </c>
      <c r="BH47" s="1329">
        <f t="shared" si="216"/>
        <v>0</v>
      </c>
      <c r="BI47" s="88">
        <f t="shared" si="217"/>
        <v>0</v>
      </c>
      <c r="BJ47" s="88" t="str">
        <f t="shared" si="18"/>
        <v/>
      </c>
      <c r="BK47" s="88" t="str">
        <f t="shared" si="19"/>
        <v/>
      </c>
      <c r="BL47" s="88" t="str">
        <f t="shared" si="20"/>
        <v/>
      </c>
      <c r="BM47" s="88" t="str">
        <f t="shared" si="21"/>
        <v/>
      </c>
      <c r="BN47" s="88" t="str">
        <f t="shared" si="22"/>
        <v/>
      </c>
      <c r="BO47" s="88" t="str">
        <f t="shared" si="23"/>
        <v/>
      </c>
      <c r="BP47" s="88" t="str">
        <f t="shared" si="24"/>
        <v/>
      </c>
      <c r="BQ47" s="88" t="str">
        <f t="shared" si="25"/>
        <v/>
      </c>
      <c r="BR47" s="88" t="str">
        <f t="shared" si="26"/>
        <v/>
      </c>
      <c r="BS47" s="88" t="str">
        <f t="shared" si="27"/>
        <v/>
      </c>
      <c r="BT47" s="88" t="str">
        <f t="shared" si="28"/>
        <v/>
      </c>
      <c r="BU47" s="88" t="str">
        <f t="shared" si="29"/>
        <v/>
      </c>
      <c r="BV47" s="88" t="str">
        <f t="shared" si="30"/>
        <v/>
      </c>
      <c r="BW47" s="88" t="str">
        <f t="shared" si="31"/>
        <v/>
      </c>
      <c r="BX47" s="88" t="str">
        <f t="shared" si="32"/>
        <v/>
      </c>
      <c r="BY47" s="88" t="str">
        <f t="shared" si="33"/>
        <v/>
      </c>
      <c r="BZ47" s="88" t="str">
        <f t="shared" si="34"/>
        <v/>
      </c>
      <c r="CA47" s="88" t="str">
        <f t="shared" si="35"/>
        <v/>
      </c>
      <c r="CB47" s="88" t="str">
        <f t="shared" si="36"/>
        <v/>
      </c>
      <c r="CC47" s="88" t="str">
        <f t="shared" si="37"/>
        <v/>
      </c>
      <c r="CD47" s="88" t="str">
        <f t="shared" si="38"/>
        <v/>
      </c>
      <c r="CE47" s="88" t="str">
        <f t="shared" si="39"/>
        <v/>
      </c>
      <c r="CF47" s="88" t="str">
        <f t="shared" si="40"/>
        <v/>
      </c>
      <c r="CG47" s="88" t="str">
        <f t="shared" si="41"/>
        <v/>
      </c>
      <c r="CH47" s="88" t="str">
        <f t="shared" si="42"/>
        <v/>
      </c>
      <c r="CI47" s="790" t="str">
        <f t="shared" si="43"/>
        <v>0</v>
      </c>
      <c r="CJ47" s="791">
        <f t="shared" si="44"/>
        <v>0</v>
      </c>
      <c r="CK47" s="784" t="str">
        <f t="shared" si="45"/>
        <v>NA</v>
      </c>
      <c r="CL47" s="784" t="str">
        <f t="shared" si="46"/>
        <v/>
      </c>
      <c r="CM47" s="784" t="str">
        <f t="shared" si="218"/>
        <v/>
      </c>
      <c r="CN47" s="790" t="str">
        <f t="shared" si="47"/>
        <v/>
      </c>
      <c r="CO47" s="790" t="str">
        <f t="shared" si="48"/>
        <v/>
      </c>
      <c r="CP47" s="784" t="str">
        <f t="shared" si="49"/>
        <v/>
      </c>
      <c r="CQ47" s="790" t="str">
        <f t="shared" si="50"/>
        <v/>
      </c>
      <c r="CR47" s="524">
        <f t="shared" si="51"/>
        <v>0</v>
      </c>
      <c r="CS47" s="257" t="str">
        <f t="shared" si="219"/>
        <v/>
      </c>
      <c r="CT47" s="496">
        <f t="shared" si="238"/>
        <v>155.1</v>
      </c>
      <c r="CU47" s="496">
        <f t="shared" si="237"/>
        <v>155.1</v>
      </c>
      <c r="CV47" s="496">
        <f t="shared" si="220"/>
        <v>155.1</v>
      </c>
      <c r="CW47" s="495" t="str">
        <f t="shared" si="52"/>
        <v/>
      </c>
      <c r="CX47" s="497" t="str">
        <f t="shared" si="53"/>
        <v/>
      </c>
      <c r="CY47" s="496" t="str">
        <f t="shared" si="221"/>
        <v/>
      </c>
      <c r="CZ47" s="1456">
        <f t="shared" si="222"/>
        <v>1</v>
      </c>
      <c r="DA47" s="157" t="str">
        <f t="shared" si="223"/>
        <v/>
      </c>
      <c r="DB47" s="213" t="str">
        <f t="shared" si="224"/>
        <v/>
      </c>
      <c r="DC47" s="213" t="str">
        <f t="shared" si="225"/>
        <v/>
      </c>
      <c r="DD47" s="157" t="str">
        <f t="shared" si="54"/>
        <v/>
      </c>
      <c r="DE47" s="157" t="str">
        <f t="shared" si="55"/>
        <v/>
      </c>
      <c r="DF47" s="157" t="str">
        <f t="shared" si="56"/>
        <v/>
      </c>
      <c r="DG47" s="157" t="str">
        <f t="shared" si="57"/>
        <v/>
      </c>
      <c r="DH47" s="157" t="str">
        <f t="shared" si="58"/>
        <v/>
      </c>
      <c r="DI47" s="157" t="str">
        <f t="shared" si="59"/>
        <v/>
      </c>
      <c r="DJ47" s="157" t="str">
        <f t="shared" si="60"/>
        <v/>
      </c>
      <c r="DK47" s="157" t="str">
        <f t="shared" si="61"/>
        <v/>
      </c>
      <c r="DL47" s="157" t="str">
        <f t="shared" si="62"/>
        <v/>
      </c>
      <c r="DM47" s="157" t="str">
        <f t="shared" si="63"/>
        <v/>
      </c>
      <c r="DN47" s="33">
        <v>23</v>
      </c>
      <c r="DO47" s="1466" t="str">
        <f t="shared" si="226"/>
        <v/>
      </c>
      <c r="DP47" s="1014" t="str">
        <f t="shared" si="64"/>
        <v/>
      </c>
      <c r="DQ47" s="1026" t="str">
        <f t="shared" si="227"/>
        <v/>
      </c>
      <c r="DR47" s="1026" t="str">
        <f t="shared" si="228"/>
        <v/>
      </c>
      <c r="DS47" s="93" t="str">
        <f t="shared" si="65"/>
        <v/>
      </c>
      <c r="DT47" s="213" t="str">
        <f t="shared" si="66"/>
        <v/>
      </c>
      <c r="DU47" s="144" t="str">
        <f t="shared" si="67"/>
        <v/>
      </c>
      <c r="DV47" s="144" t="str">
        <f t="shared" si="68"/>
        <v/>
      </c>
      <c r="DW47" s="144" t="str">
        <f t="shared" si="69"/>
        <v/>
      </c>
      <c r="DX47" s="144" t="str">
        <f t="shared" si="70"/>
        <v/>
      </c>
      <c r="DY47" s="144" t="str">
        <f t="shared" si="71"/>
        <v/>
      </c>
      <c r="DZ47" s="144" t="str">
        <f t="shared" si="72"/>
        <v/>
      </c>
      <c r="EA47" s="144" t="str">
        <f t="shared" si="73"/>
        <v/>
      </c>
      <c r="EB47" s="144" t="str">
        <f t="shared" si="74"/>
        <v/>
      </c>
      <c r="EC47" s="144" t="str">
        <f t="shared" si="75"/>
        <v/>
      </c>
      <c r="ED47" s="144" t="str">
        <f t="shared" si="76"/>
        <v/>
      </c>
      <c r="EE47" s="144" t="str">
        <f t="shared" si="77"/>
        <v/>
      </c>
      <c r="EF47" s="144" t="str">
        <f t="shared" si="78"/>
        <v/>
      </c>
      <c r="EG47" s="144" t="str">
        <f t="shared" si="79"/>
        <v/>
      </c>
      <c r="EH47" s="144" t="str">
        <f t="shared" si="80"/>
        <v/>
      </c>
      <c r="EI47" s="144" t="str">
        <f t="shared" si="81"/>
        <v/>
      </c>
      <c r="EJ47" s="144" t="str">
        <f t="shared" si="82"/>
        <v/>
      </c>
      <c r="EK47" s="144" t="str">
        <f t="shared" si="83"/>
        <v/>
      </c>
      <c r="EL47" s="144" t="str">
        <f t="shared" si="84"/>
        <v/>
      </c>
      <c r="EM47" s="144" t="str">
        <f t="shared" si="85"/>
        <v/>
      </c>
      <c r="EN47" s="719" t="str">
        <f t="shared" si="86"/>
        <v/>
      </c>
      <c r="EO47" s="719" t="str">
        <f t="shared" si="87"/>
        <v/>
      </c>
      <c r="EP47" s="719" t="str">
        <f t="shared" si="88"/>
        <v/>
      </c>
      <c r="EQ47" s="719" t="str">
        <f t="shared" si="89"/>
        <v/>
      </c>
      <c r="ER47" s="719" t="str">
        <f t="shared" si="90"/>
        <v/>
      </c>
      <c r="EU47" s="33">
        <v>23</v>
      </c>
      <c r="EV47" s="735" t="str">
        <f t="shared" si="91"/>
        <v>Crítico</v>
      </c>
      <c r="EW47" s="741">
        <f t="shared" si="92"/>
        <v>1</v>
      </c>
      <c r="EX47" s="121" t="str">
        <f t="shared" si="93"/>
        <v>Crítico</v>
      </c>
      <c r="EY47" s="124">
        <f t="shared" si="229"/>
        <v>1</v>
      </c>
      <c r="EZ47" s="121" t="str">
        <f t="shared" si="94"/>
        <v>Crítico</v>
      </c>
      <c r="FA47" s="122">
        <f t="shared" si="95"/>
        <v>1</v>
      </c>
      <c r="FB47" s="18">
        <f t="shared" si="96"/>
        <v>0</v>
      </c>
      <c r="FC47" s="254" t="str">
        <f t="shared" si="97"/>
        <v/>
      </c>
      <c r="FD47" s="76" t="str">
        <f t="shared" si="230"/>
        <v/>
      </c>
      <c r="FE47" s="18">
        <f t="shared" si="231"/>
        <v>0</v>
      </c>
      <c r="FF47" s="703">
        <f t="shared" si="98"/>
        <v>0</v>
      </c>
      <c r="FG47" s="702">
        <f t="shared" si="99"/>
        <v>0</v>
      </c>
      <c r="FH47" s="19">
        <f t="shared" si="232"/>
        <v>0</v>
      </c>
      <c r="FI47" s="238" t="str">
        <f t="shared" si="233"/>
        <v/>
      </c>
      <c r="FJ47" s="701" t="str">
        <f t="shared" si="100"/>
        <v/>
      </c>
      <c r="FK47" s="66">
        <f t="shared" si="101"/>
        <v>0</v>
      </c>
      <c r="FL47" s="701" t="str">
        <f t="shared" si="102"/>
        <v/>
      </c>
      <c r="FM47" s="146" t="str">
        <f t="shared" si="103"/>
        <v/>
      </c>
      <c r="FN47" s="701" t="str">
        <f t="shared" si="104"/>
        <v/>
      </c>
      <c r="FO47" s="66">
        <f t="shared" si="105"/>
        <v>0</v>
      </c>
      <c r="FP47" s="701" t="str">
        <f t="shared" si="106"/>
        <v/>
      </c>
      <c r="FQ47" s="146" t="str">
        <f t="shared" si="107"/>
        <v/>
      </c>
      <c r="FR47" s="701" t="str">
        <f t="shared" si="108"/>
        <v/>
      </c>
      <c r="FS47" s="66">
        <f t="shared" si="109"/>
        <v>0</v>
      </c>
      <c r="FT47" s="701" t="str">
        <f t="shared" si="110"/>
        <v/>
      </c>
      <c r="FU47" s="146" t="str">
        <f t="shared" si="111"/>
        <v/>
      </c>
      <c r="FV47" s="701" t="str">
        <f t="shared" si="112"/>
        <v/>
      </c>
      <c r="FW47" s="66">
        <f t="shared" si="113"/>
        <v>0</v>
      </c>
      <c r="FX47" s="701" t="str">
        <f t="shared" si="114"/>
        <v/>
      </c>
      <c r="FY47" s="146" t="str">
        <f t="shared" si="115"/>
        <v/>
      </c>
      <c r="FZ47" s="701" t="str">
        <f t="shared" si="116"/>
        <v/>
      </c>
      <c r="GA47" s="66">
        <f t="shared" si="117"/>
        <v>0</v>
      </c>
      <c r="GB47" s="701" t="str">
        <f t="shared" si="118"/>
        <v/>
      </c>
      <c r="GC47" s="146" t="str">
        <f t="shared" si="119"/>
        <v/>
      </c>
      <c r="GD47" s="701" t="str">
        <f t="shared" si="120"/>
        <v/>
      </c>
      <c r="GE47" s="66">
        <f t="shared" si="121"/>
        <v>0</v>
      </c>
      <c r="GF47" s="701" t="str">
        <f t="shared" si="122"/>
        <v/>
      </c>
      <c r="GG47" s="146" t="str">
        <f t="shared" si="123"/>
        <v/>
      </c>
      <c r="GH47" s="701" t="str">
        <f t="shared" si="124"/>
        <v/>
      </c>
      <c r="GI47" s="66">
        <f t="shared" si="125"/>
        <v>0</v>
      </c>
      <c r="GJ47" s="701" t="str">
        <f t="shared" si="126"/>
        <v/>
      </c>
      <c r="GK47" s="146" t="str">
        <f t="shared" si="127"/>
        <v/>
      </c>
      <c r="GL47" s="701" t="str">
        <f t="shared" si="128"/>
        <v/>
      </c>
      <c r="GM47" s="66">
        <f t="shared" si="129"/>
        <v>0</v>
      </c>
      <c r="GN47" s="701" t="str">
        <f t="shared" si="130"/>
        <v/>
      </c>
      <c r="GO47" s="146" t="str">
        <f t="shared" si="131"/>
        <v/>
      </c>
      <c r="GP47" s="701" t="str">
        <f t="shared" si="132"/>
        <v/>
      </c>
      <c r="GQ47" s="66">
        <f t="shared" si="133"/>
        <v>0</v>
      </c>
      <c r="GR47" s="701" t="str">
        <f t="shared" si="134"/>
        <v/>
      </c>
      <c r="GS47" s="146" t="str">
        <f t="shared" si="135"/>
        <v/>
      </c>
      <c r="GT47" s="701" t="str">
        <f t="shared" si="136"/>
        <v/>
      </c>
      <c r="GU47" s="66">
        <f t="shared" si="137"/>
        <v>0</v>
      </c>
      <c r="GV47" s="701" t="str">
        <f t="shared" si="138"/>
        <v/>
      </c>
      <c r="GW47" s="146" t="str">
        <f t="shared" si="139"/>
        <v/>
      </c>
      <c r="GX47" s="701" t="str">
        <f t="shared" si="140"/>
        <v/>
      </c>
      <c r="GY47" s="66">
        <f t="shared" si="141"/>
        <v>0</v>
      </c>
      <c r="GZ47" s="701" t="str">
        <f t="shared" si="142"/>
        <v/>
      </c>
      <c r="HA47" s="146" t="str">
        <f t="shared" si="143"/>
        <v/>
      </c>
      <c r="HB47" s="701" t="str">
        <f t="shared" si="144"/>
        <v/>
      </c>
      <c r="HC47" s="66">
        <f t="shared" si="145"/>
        <v>0</v>
      </c>
      <c r="HD47" s="701" t="str">
        <f t="shared" si="146"/>
        <v/>
      </c>
      <c r="HE47" s="146" t="str">
        <f t="shared" si="147"/>
        <v/>
      </c>
      <c r="HF47" s="701" t="str">
        <f t="shared" si="148"/>
        <v/>
      </c>
      <c r="HG47" s="66">
        <f t="shared" si="149"/>
        <v>0</v>
      </c>
      <c r="HH47" s="701" t="str">
        <f t="shared" si="150"/>
        <v/>
      </c>
      <c r="HI47" s="146" t="str">
        <f t="shared" si="151"/>
        <v/>
      </c>
      <c r="HJ47" s="701" t="str">
        <f t="shared" si="152"/>
        <v/>
      </c>
      <c r="HK47" s="66">
        <f t="shared" si="153"/>
        <v>0</v>
      </c>
      <c r="HL47" s="701" t="str">
        <f t="shared" si="154"/>
        <v/>
      </c>
      <c r="HM47" s="146" t="str">
        <f t="shared" si="155"/>
        <v/>
      </c>
      <c r="HN47" s="701" t="str">
        <f t="shared" si="156"/>
        <v/>
      </c>
      <c r="HO47" s="66">
        <f t="shared" si="157"/>
        <v>0</v>
      </c>
      <c r="HP47" s="701" t="str">
        <f t="shared" si="158"/>
        <v/>
      </c>
      <c r="HQ47" s="146" t="str">
        <f t="shared" si="159"/>
        <v/>
      </c>
      <c r="HR47" s="701" t="str">
        <f t="shared" si="160"/>
        <v/>
      </c>
      <c r="HS47" s="66">
        <f t="shared" si="161"/>
        <v>0</v>
      </c>
      <c r="HT47" s="701" t="str">
        <f t="shared" si="162"/>
        <v/>
      </c>
      <c r="HU47" s="146" t="str">
        <f t="shared" si="163"/>
        <v/>
      </c>
      <c r="HV47" s="701" t="str">
        <f t="shared" si="164"/>
        <v/>
      </c>
      <c r="HW47" s="66">
        <f t="shared" si="165"/>
        <v>0</v>
      </c>
      <c r="HX47" s="701" t="str">
        <f t="shared" si="166"/>
        <v/>
      </c>
      <c r="HY47" s="146" t="str">
        <f t="shared" si="167"/>
        <v/>
      </c>
      <c r="HZ47" s="701" t="str">
        <f t="shared" si="168"/>
        <v/>
      </c>
      <c r="IA47" s="66">
        <f t="shared" si="169"/>
        <v>0</v>
      </c>
      <c r="IB47" s="701" t="str">
        <f t="shared" si="170"/>
        <v/>
      </c>
      <c r="IC47" s="146" t="str">
        <f t="shared" si="171"/>
        <v/>
      </c>
      <c r="ID47" s="701" t="str">
        <f t="shared" si="172"/>
        <v/>
      </c>
      <c r="IE47" s="66">
        <f t="shared" si="173"/>
        <v>0</v>
      </c>
      <c r="IF47" s="701" t="str">
        <f t="shared" si="174"/>
        <v/>
      </c>
      <c r="IG47" s="146" t="str">
        <f t="shared" si="175"/>
        <v/>
      </c>
      <c r="IH47" s="701" t="str">
        <f t="shared" si="176"/>
        <v/>
      </c>
      <c r="II47" s="66">
        <f t="shared" si="177"/>
        <v>0</v>
      </c>
      <c r="IJ47" s="701" t="str">
        <f t="shared" si="178"/>
        <v/>
      </c>
      <c r="IK47" s="146" t="str">
        <f t="shared" si="179"/>
        <v/>
      </c>
      <c r="IL47" s="701" t="str">
        <f t="shared" si="180"/>
        <v/>
      </c>
      <c r="IM47" s="66">
        <f t="shared" si="181"/>
        <v>0</v>
      </c>
      <c r="IN47" s="701" t="str">
        <f t="shared" si="182"/>
        <v/>
      </c>
      <c r="IO47" s="146" t="str">
        <f t="shared" si="183"/>
        <v/>
      </c>
      <c r="IP47" s="701" t="str">
        <f t="shared" si="184"/>
        <v/>
      </c>
      <c r="IQ47" s="66">
        <f t="shared" si="185"/>
        <v>0</v>
      </c>
      <c r="IR47" s="701" t="str">
        <f t="shared" si="186"/>
        <v/>
      </c>
      <c r="IS47" s="146" t="str">
        <f t="shared" si="187"/>
        <v/>
      </c>
      <c r="IT47" s="701" t="str">
        <f t="shared" si="188"/>
        <v/>
      </c>
      <c r="IU47" s="66">
        <f t="shared" si="189"/>
        <v>0</v>
      </c>
      <c r="IV47" s="701" t="str">
        <f t="shared" si="190"/>
        <v/>
      </c>
      <c r="IW47" s="146" t="str">
        <f t="shared" si="191"/>
        <v/>
      </c>
      <c r="IX47" s="701" t="str">
        <f t="shared" si="192"/>
        <v/>
      </c>
      <c r="IY47" s="66">
        <f t="shared" si="193"/>
        <v>0</v>
      </c>
    </row>
    <row r="48" spans="1:259" s="3" customFormat="1" ht="18" customHeight="1" thickTop="1" thickBot="1" x14ac:dyDescent="0.35">
      <c r="A48" s="1468" t="str">
        <f t="shared" si="194"/>
        <v/>
      </c>
      <c r="B48" s="780" t="str">
        <f t="shared" si="6"/>
        <v/>
      </c>
      <c r="D48" s="525" t="str">
        <f t="shared" si="234"/>
        <v/>
      </c>
      <c r="E48" s="522" t="str">
        <f>IF(DO77="","",SUM($DO$54:DO77))</f>
        <v/>
      </c>
      <c r="F48" s="843"/>
      <c r="G48" s="844"/>
      <c r="H48" s="840"/>
      <c r="I48" s="1228"/>
      <c r="J48" s="841"/>
      <c r="K48" s="842"/>
      <c r="L48" s="1270" t="str">
        <f>IF('Quadro 2'!G36="","",'Quadro 2'!G36)</f>
        <v/>
      </c>
      <c r="M48" s="1270" t="str">
        <f t="shared" si="195"/>
        <v/>
      </c>
      <c r="N48" s="1459" t="str">
        <f t="shared" si="196"/>
        <v/>
      </c>
      <c r="O48" s="1480" t="str">
        <f t="shared" si="197"/>
        <v/>
      </c>
      <c r="P48" s="1271" t="str">
        <f t="shared" si="198"/>
        <v/>
      </c>
      <c r="Q48" s="1489" t="str">
        <f t="shared" si="199"/>
        <v/>
      </c>
      <c r="R48" s="1426" t="str">
        <f t="shared" si="7"/>
        <v/>
      </c>
      <c r="S48" s="848" t="str">
        <f t="shared" si="241"/>
        <v/>
      </c>
      <c r="T48" s="58" t="str">
        <f t="shared" si="9"/>
        <v/>
      </c>
      <c r="U48" s="1133"/>
      <c r="V48" s="143" t="str">
        <f t="shared" si="200"/>
        <v/>
      </c>
      <c r="W48" s="849" t="str">
        <f>IF(OR(H48="",V48="",V48=0),"",IF($V48&gt;'Quadro 1'!$G$23,'Quadro 1'!$G$23,IF($V48&lt;'Quadro 1'!$G$10,'Quadro 1'!$G$10,MIN($X48,$Y48))))</f>
        <v/>
      </c>
      <c r="X48" s="850" t="str">
        <f>IF($V48&lt;='Quadro 1'!$G$10,'Quadro 1'!$G$10,IF($V48&lt;='Quadro 1'!$G$11,'Quadro 1'!$G$11,IF($V48&lt;='Quadro 1'!$G$12,'Quadro 1'!$G$12,IF($V48&lt;='Quadro 1'!$G$13,'Quadro 1'!$G$13,IF($V48&lt;='Quadro 1'!$G$14,'Quadro 1'!$G$14,IF($V48&lt;='Quadro 1'!$G$15,'Quadro 1'!$G$15,IF($V48&lt;='Quadro 1'!$G$16,'Quadro 1'!$G$16,"")))))))</f>
        <v/>
      </c>
      <c r="Y48" s="851" t="str">
        <f>IF(OR(V48="",V48=0),"",IF($V48&lt;='Quadro 1'!$G$17,'Quadro 1'!$G$17,IF($V48&lt;='Quadro 1'!$G$18,'Quadro 1'!$G$18,IF($V48&lt;='Quadro 1'!$G$19,'Quadro 1'!$G$19,IF($V48&lt;='Quadro 1'!$G$20,'Quadro 1'!$G$20,IF($V48&lt;='Quadro 1'!$G$21,'Quadro 1'!$G$21,IF($V48&lt;='Quadro 1'!$G$22,'Quadro 1'!$G$22,IF($V48&lt;='Quadro 1'!$G$23,'Quadro 1'!$G$23,'Quadro 1'!$G$23))))))))</f>
        <v/>
      </c>
      <c r="Z48" s="852" t="str">
        <f>IF(W48="","",LOOKUP(W48,'Quadro 1'!$G$9:$G$23,'Quadro 1'!$H$9:$H$23))</f>
        <v/>
      </c>
      <c r="AA48" s="1417" t="str">
        <f>IF(W48="","",LOOKUP(W48,'Quadro 1'!$G$9:$G$23,'Quadro 1'!$D$9:$D$23))</f>
        <v/>
      </c>
      <c r="AB48" s="853" t="str">
        <f>IF(W48="","",LOOKUP(W48,'Quadro 1'!$G$9:$G$23,'Quadro 1'!$E$9:$E$23))</f>
        <v/>
      </c>
      <c r="AC48" s="1272" t="str">
        <f t="shared" si="201"/>
        <v/>
      </c>
      <c r="AD48" s="1274" t="str">
        <f t="shared" si="240"/>
        <v/>
      </c>
      <c r="AE48" s="1392" t="str">
        <f t="shared" si="202"/>
        <v/>
      </c>
      <c r="AF48" s="1395" t="str">
        <f t="shared" si="203"/>
        <v/>
      </c>
      <c r="AG48" s="1396" t="str">
        <f t="shared" si="204"/>
        <v/>
      </c>
      <c r="AH48" s="1398" t="str">
        <f t="shared" si="11"/>
        <v/>
      </c>
      <c r="AI48" s="1490" t="str">
        <f t="shared" si="235"/>
        <v/>
      </c>
      <c r="AJ48" s="1502" t="str">
        <f t="shared" si="239"/>
        <v/>
      </c>
      <c r="AK48" s="1503"/>
      <c r="AL48" s="1503"/>
      <c r="AM48" s="1504"/>
      <c r="AN48" s="1275" t="str">
        <f t="shared" si="12"/>
        <v/>
      </c>
      <c r="AO48" s="1502" t="str">
        <f t="shared" si="13"/>
        <v/>
      </c>
      <c r="AP48" s="1507"/>
      <c r="AQ48" s="1504"/>
      <c r="AR48" s="847"/>
      <c r="AS48" s="1258">
        <f t="shared" si="206"/>
        <v>0</v>
      </c>
      <c r="AT48" s="1256">
        <f t="shared" si="207"/>
        <v>0</v>
      </c>
      <c r="AU48" s="1381">
        <f t="shared" si="242"/>
        <v>1</v>
      </c>
      <c r="AV48" s="157" t="str">
        <f t="shared" si="14"/>
        <v/>
      </c>
      <c r="AW48" s="87" t="str">
        <f t="shared" si="236"/>
        <v/>
      </c>
      <c r="AX48" s="87" t="str">
        <f t="shared" si="15"/>
        <v/>
      </c>
      <c r="AY48" s="1341" t="str">
        <f t="shared" si="209"/>
        <v/>
      </c>
      <c r="AZ48" s="701">
        <f t="shared" si="210"/>
        <v>1</v>
      </c>
      <c r="BA48" s="1338" t="str">
        <f t="shared" si="211"/>
        <v/>
      </c>
      <c r="BB48" s="1335" t="str">
        <f t="shared" si="212"/>
        <v/>
      </c>
      <c r="BC48" s="86" t="str">
        <f t="shared" si="213"/>
        <v/>
      </c>
      <c r="BD48" s="701">
        <f t="shared" si="214"/>
        <v>1</v>
      </c>
      <c r="BE48" s="1273" t="str">
        <f t="shared" si="215"/>
        <v/>
      </c>
      <c r="BF48" s="86" t="str">
        <f t="shared" si="16"/>
        <v/>
      </c>
      <c r="BG48" s="57" t="str">
        <f t="shared" si="17"/>
        <v/>
      </c>
      <c r="BH48" s="1329">
        <f t="shared" si="216"/>
        <v>0</v>
      </c>
      <c r="BI48" s="88">
        <f t="shared" si="217"/>
        <v>0</v>
      </c>
      <c r="BJ48" s="88" t="str">
        <f t="shared" si="18"/>
        <v/>
      </c>
      <c r="BK48" s="88" t="str">
        <f t="shared" si="19"/>
        <v/>
      </c>
      <c r="BL48" s="88" t="str">
        <f t="shared" si="20"/>
        <v/>
      </c>
      <c r="BM48" s="88" t="str">
        <f t="shared" si="21"/>
        <v/>
      </c>
      <c r="BN48" s="88" t="str">
        <f t="shared" si="22"/>
        <v/>
      </c>
      <c r="BO48" s="88" t="str">
        <f t="shared" si="23"/>
        <v/>
      </c>
      <c r="BP48" s="88" t="str">
        <f t="shared" si="24"/>
        <v/>
      </c>
      <c r="BQ48" s="88" t="str">
        <f t="shared" si="25"/>
        <v/>
      </c>
      <c r="BR48" s="88" t="str">
        <f t="shared" si="26"/>
        <v/>
      </c>
      <c r="BS48" s="88" t="str">
        <f t="shared" si="27"/>
        <v/>
      </c>
      <c r="BT48" s="88" t="str">
        <f t="shared" si="28"/>
        <v/>
      </c>
      <c r="BU48" s="88" t="str">
        <f t="shared" si="29"/>
        <v/>
      </c>
      <c r="BV48" s="88" t="str">
        <f t="shared" si="30"/>
        <v/>
      </c>
      <c r="BW48" s="88" t="str">
        <f t="shared" si="31"/>
        <v/>
      </c>
      <c r="BX48" s="88" t="str">
        <f t="shared" si="32"/>
        <v/>
      </c>
      <c r="BY48" s="88" t="str">
        <f t="shared" si="33"/>
        <v/>
      </c>
      <c r="BZ48" s="88" t="str">
        <f t="shared" si="34"/>
        <v/>
      </c>
      <c r="CA48" s="88" t="str">
        <f t="shared" si="35"/>
        <v/>
      </c>
      <c r="CB48" s="88" t="str">
        <f t="shared" si="36"/>
        <v/>
      </c>
      <c r="CC48" s="88" t="str">
        <f t="shared" si="37"/>
        <v/>
      </c>
      <c r="CD48" s="88" t="str">
        <f t="shared" si="38"/>
        <v/>
      </c>
      <c r="CE48" s="88" t="str">
        <f t="shared" si="39"/>
        <v/>
      </c>
      <c r="CF48" s="88" t="str">
        <f t="shared" si="40"/>
        <v/>
      </c>
      <c r="CG48" s="88" t="str">
        <f t="shared" si="41"/>
        <v/>
      </c>
      <c r="CH48" s="88" t="str">
        <f t="shared" si="42"/>
        <v/>
      </c>
      <c r="CI48" s="790" t="str">
        <f t="shared" si="43"/>
        <v>0</v>
      </c>
      <c r="CJ48" s="791">
        <f t="shared" si="44"/>
        <v>0</v>
      </c>
      <c r="CK48" s="784" t="str">
        <f t="shared" si="45"/>
        <v>NA</v>
      </c>
      <c r="CL48" s="784" t="str">
        <f t="shared" si="46"/>
        <v/>
      </c>
      <c r="CM48" s="784" t="str">
        <f t="shared" si="218"/>
        <v/>
      </c>
      <c r="CN48" s="790" t="str">
        <f t="shared" si="47"/>
        <v/>
      </c>
      <c r="CO48" s="790" t="str">
        <f t="shared" si="48"/>
        <v/>
      </c>
      <c r="CP48" s="784" t="str">
        <f t="shared" si="49"/>
        <v/>
      </c>
      <c r="CQ48" s="790" t="str">
        <f t="shared" si="50"/>
        <v/>
      </c>
      <c r="CR48" s="524">
        <f t="shared" si="51"/>
        <v>0</v>
      </c>
      <c r="CS48" s="257" t="str">
        <f t="shared" si="219"/>
        <v/>
      </c>
      <c r="CT48" s="496">
        <f t="shared" si="238"/>
        <v>155.1</v>
      </c>
      <c r="CU48" s="496">
        <f t="shared" si="237"/>
        <v>155.1</v>
      </c>
      <c r="CV48" s="496">
        <f t="shared" si="220"/>
        <v>155.1</v>
      </c>
      <c r="CW48" s="495" t="str">
        <f t="shared" si="52"/>
        <v/>
      </c>
      <c r="CX48" s="497" t="str">
        <f t="shared" si="53"/>
        <v/>
      </c>
      <c r="CY48" s="496" t="str">
        <f t="shared" si="221"/>
        <v/>
      </c>
      <c r="CZ48" s="1456">
        <f t="shared" si="222"/>
        <v>1</v>
      </c>
      <c r="DA48" s="157" t="str">
        <f t="shared" si="223"/>
        <v/>
      </c>
      <c r="DB48" s="213" t="str">
        <f t="shared" si="224"/>
        <v/>
      </c>
      <c r="DC48" s="213" t="str">
        <f t="shared" si="225"/>
        <v/>
      </c>
      <c r="DD48" s="157" t="str">
        <f t="shared" si="54"/>
        <v/>
      </c>
      <c r="DE48" s="157" t="str">
        <f t="shared" si="55"/>
        <v/>
      </c>
      <c r="DF48" s="157" t="str">
        <f t="shared" si="56"/>
        <v/>
      </c>
      <c r="DG48" s="157" t="str">
        <f t="shared" si="57"/>
        <v/>
      </c>
      <c r="DH48" s="157" t="str">
        <f t="shared" si="58"/>
        <v/>
      </c>
      <c r="DI48" s="157" t="str">
        <f t="shared" si="59"/>
        <v/>
      </c>
      <c r="DJ48" s="157" t="str">
        <f t="shared" si="60"/>
        <v/>
      </c>
      <c r="DK48" s="157" t="str">
        <f t="shared" si="61"/>
        <v/>
      </c>
      <c r="DL48" s="157" t="str">
        <f t="shared" si="62"/>
        <v/>
      </c>
      <c r="DM48" s="157" t="str">
        <f t="shared" si="63"/>
        <v/>
      </c>
      <c r="DN48" s="33">
        <v>24</v>
      </c>
      <c r="DO48" s="1466" t="str">
        <f t="shared" si="226"/>
        <v/>
      </c>
      <c r="DP48" s="1014" t="str">
        <f t="shared" si="64"/>
        <v/>
      </c>
      <c r="DQ48" s="1026" t="str">
        <f t="shared" si="227"/>
        <v/>
      </c>
      <c r="DR48" s="1026" t="str">
        <f t="shared" si="228"/>
        <v/>
      </c>
      <c r="DS48" s="93" t="str">
        <f t="shared" si="65"/>
        <v/>
      </c>
      <c r="DT48" s="213" t="str">
        <f t="shared" si="66"/>
        <v/>
      </c>
      <c r="DU48" s="144" t="str">
        <f t="shared" si="67"/>
        <v/>
      </c>
      <c r="DV48" s="144" t="str">
        <f t="shared" si="68"/>
        <v/>
      </c>
      <c r="DW48" s="144" t="str">
        <f t="shared" si="69"/>
        <v/>
      </c>
      <c r="DX48" s="144" t="str">
        <f t="shared" si="70"/>
        <v/>
      </c>
      <c r="DY48" s="144" t="str">
        <f t="shared" si="71"/>
        <v/>
      </c>
      <c r="DZ48" s="144" t="str">
        <f t="shared" si="72"/>
        <v/>
      </c>
      <c r="EA48" s="144" t="str">
        <f t="shared" si="73"/>
        <v/>
      </c>
      <c r="EB48" s="144" t="str">
        <f t="shared" si="74"/>
        <v/>
      </c>
      <c r="EC48" s="144" t="str">
        <f t="shared" si="75"/>
        <v/>
      </c>
      <c r="ED48" s="144" t="str">
        <f t="shared" si="76"/>
        <v/>
      </c>
      <c r="EE48" s="144" t="str">
        <f t="shared" si="77"/>
        <v/>
      </c>
      <c r="EF48" s="144" t="str">
        <f t="shared" si="78"/>
        <v/>
      </c>
      <c r="EG48" s="144" t="str">
        <f t="shared" si="79"/>
        <v/>
      </c>
      <c r="EH48" s="144" t="str">
        <f t="shared" si="80"/>
        <v/>
      </c>
      <c r="EI48" s="144" t="str">
        <f t="shared" si="81"/>
        <v/>
      </c>
      <c r="EJ48" s="144" t="str">
        <f t="shared" si="82"/>
        <v/>
      </c>
      <c r="EK48" s="144" t="str">
        <f t="shared" si="83"/>
        <v/>
      </c>
      <c r="EL48" s="144" t="str">
        <f t="shared" si="84"/>
        <v/>
      </c>
      <c r="EM48" s="144" t="str">
        <f t="shared" si="85"/>
        <v/>
      </c>
      <c r="EN48" s="719" t="str">
        <f t="shared" si="86"/>
        <v/>
      </c>
      <c r="EO48" s="719" t="str">
        <f t="shared" si="87"/>
        <v/>
      </c>
      <c r="EP48" s="719" t="str">
        <f t="shared" si="88"/>
        <v/>
      </c>
      <c r="EQ48" s="719" t="str">
        <f t="shared" si="89"/>
        <v/>
      </c>
      <c r="ER48" s="719" t="str">
        <f t="shared" si="90"/>
        <v/>
      </c>
      <c r="EU48" s="33">
        <v>24</v>
      </c>
      <c r="EV48" s="735" t="str">
        <f t="shared" si="91"/>
        <v>Crítico</v>
      </c>
      <c r="EW48" s="741">
        <f t="shared" si="92"/>
        <v>1</v>
      </c>
      <c r="EX48" s="121" t="str">
        <f t="shared" si="93"/>
        <v>Crítico</v>
      </c>
      <c r="EY48" s="124">
        <f t="shared" si="229"/>
        <v>1</v>
      </c>
      <c r="EZ48" s="121" t="str">
        <f t="shared" si="94"/>
        <v>Crítico</v>
      </c>
      <c r="FA48" s="122">
        <f t="shared" si="95"/>
        <v>1</v>
      </c>
      <c r="FB48" s="18">
        <f t="shared" si="96"/>
        <v>0</v>
      </c>
      <c r="FC48" s="254" t="str">
        <f t="shared" si="97"/>
        <v/>
      </c>
      <c r="FD48" s="76" t="str">
        <f t="shared" si="230"/>
        <v/>
      </c>
      <c r="FE48" s="18">
        <f t="shared" si="231"/>
        <v>0</v>
      </c>
      <c r="FF48" s="703">
        <f t="shared" si="98"/>
        <v>0</v>
      </c>
      <c r="FG48" s="702">
        <f t="shared" si="99"/>
        <v>0</v>
      </c>
      <c r="FH48" s="19">
        <f t="shared" si="232"/>
        <v>0</v>
      </c>
      <c r="FI48" s="238" t="str">
        <f t="shared" si="233"/>
        <v/>
      </c>
      <c r="FJ48" s="701" t="str">
        <f t="shared" si="100"/>
        <v/>
      </c>
      <c r="FK48" s="66">
        <f t="shared" si="101"/>
        <v>0</v>
      </c>
      <c r="FL48" s="701" t="str">
        <f t="shared" si="102"/>
        <v/>
      </c>
      <c r="FM48" s="146" t="str">
        <f t="shared" si="103"/>
        <v/>
      </c>
      <c r="FN48" s="701" t="str">
        <f t="shared" si="104"/>
        <v/>
      </c>
      <c r="FO48" s="66">
        <f t="shared" si="105"/>
        <v>0</v>
      </c>
      <c r="FP48" s="701" t="str">
        <f t="shared" si="106"/>
        <v/>
      </c>
      <c r="FQ48" s="146" t="str">
        <f t="shared" si="107"/>
        <v/>
      </c>
      <c r="FR48" s="701" t="str">
        <f t="shared" si="108"/>
        <v/>
      </c>
      <c r="FS48" s="66">
        <f t="shared" si="109"/>
        <v>0</v>
      </c>
      <c r="FT48" s="701" t="str">
        <f t="shared" si="110"/>
        <v/>
      </c>
      <c r="FU48" s="146" t="str">
        <f t="shared" si="111"/>
        <v/>
      </c>
      <c r="FV48" s="701" t="str">
        <f t="shared" si="112"/>
        <v/>
      </c>
      <c r="FW48" s="66">
        <f t="shared" si="113"/>
        <v>0</v>
      </c>
      <c r="FX48" s="701" t="str">
        <f t="shared" si="114"/>
        <v/>
      </c>
      <c r="FY48" s="146" t="str">
        <f t="shared" si="115"/>
        <v/>
      </c>
      <c r="FZ48" s="701" t="str">
        <f t="shared" si="116"/>
        <v/>
      </c>
      <c r="GA48" s="66">
        <f t="shared" si="117"/>
        <v>0</v>
      </c>
      <c r="GB48" s="701" t="str">
        <f t="shared" si="118"/>
        <v/>
      </c>
      <c r="GC48" s="146" t="str">
        <f t="shared" si="119"/>
        <v/>
      </c>
      <c r="GD48" s="701" t="str">
        <f t="shared" si="120"/>
        <v/>
      </c>
      <c r="GE48" s="66">
        <f t="shared" si="121"/>
        <v>0</v>
      </c>
      <c r="GF48" s="701" t="str">
        <f t="shared" si="122"/>
        <v/>
      </c>
      <c r="GG48" s="146" t="str">
        <f t="shared" si="123"/>
        <v/>
      </c>
      <c r="GH48" s="701" t="str">
        <f t="shared" si="124"/>
        <v/>
      </c>
      <c r="GI48" s="66">
        <f t="shared" si="125"/>
        <v>0</v>
      </c>
      <c r="GJ48" s="701" t="str">
        <f t="shared" si="126"/>
        <v/>
      </c>
      <c r="GK48" s="146" t="str">
        <f t="shared" si="127"/>
        <v/>
      </c>
      <c r="GL48" s="701" t="str">
        <f t="shared" si="128"/>
        <v/>
      </c>
      <c r="GM48" s="66">
        <f t="shared" si="129"/>
        <v>0</v>
      </c>
      <c r="GN48" s="701" t="str">
        <f t="shared" si="130"/>
        <v/>
      </c>
      <c r="GO48" s="146" t="str">
        <f t="shared" si="131"/>
        <v/>
      </c>
      <c r="GP48" s="701" t="str">
        <f t="shared" si="132"/>
        <v/>
      </c>
      <c r="GQ48" s="66">
        <f t="shared" si="133"/>
        <v>0</v>
      </c>
      <c r="GR48" s="701" t="str">
        <f t="shared" si="134"/>
        <v/>
      </c>
      <c r="GS48" s="146" t="str">
        <f t="shared" si="135"/>
        <v/>
      </c>
      <c r="GT48" s="701" t="str">
        <f t="shared" si="136"/>
        <v/>
      </c>
      <c r="GU48" s="66">
        <f t="shared" si="137"/>
        <v>0</v>
      </c>
      <c r="GV48" s="701" t="str">
        <f t="shared" si="138"/>
        <v/>
      </c>
      <c r="GW48" s="146" t="str">
        <f t="shared" si="139"/>
        <v/>
      </c>
      <c r="GX48" s="701" t="str">
        <f t="shared" si="140"/>
        <v/>
      </c>
      <c r="GY48" s="66">
        <f t="shared" si="141"/>
        <v>0</v>
      </c>
      <c r="GZ48" s="701" t="str">
        <f t="shared" si="142"/>
        <v/>
      </c>
      <c r="HA48" s="146" t="str">
        <f t="shared" si="143"/>
        <v/>
      </c>
      <c r="HB48" s="701" t="str">
        <f t="shared" si="144"/>
        <v/>
      </c>
      <c r="HC48" s="66">
        <f t="shared" si="145"/>
        <v>0</v>
      </c>
      <c r="HD48" s="701" t="str">
        <f t="shared" si="146"/>
        <v/>
      </c>
      <c r="HE48" s="146" t="str">
        <f t="shared" si="147"/>
        <v/>
      </c>
      <c r="HF48" s="701" t="str">
        <f t="shared" si="148"/>
        <v/>
      </c>
      <c r="HG48" s="66">
        <f t="shared" si="149"/>
        <v>0</v>
      </c>
      <c r="HH48" s="701" t="str">
        <f t="shared" si="150"/>
        <v/>
      </c>
      <c r="HI48" s="146" t="str">
        <f t="shared" si="151"/>
        <v/>
      </c>
      <c r="HJ48" s="701" t="str">
        <f t="shared" si="152"/>
        <v/>
      </c>
      <c r="HK48" s="66">
        <f t="shared" si="153"/>
        <v>0</v>
      </c>
      <c r="HL48" s="701" t="str">
        <f t="shared" si="154"/>
        <v/>
      </c>
      <c r="HM48" s="146" t="str">
        <f t="shared" si="155"/>
        <v/>
      </c>
      <c r="HN48" s="701" t="str">
        <f t="shared" si="156"/>
        <v/>
      </c>
      <c r="HO48" s="66">
        <f t="shared" si="157"/>
        <v>0</v>
      </c>
      <c r="HP48" s="701" t="str">
        <f t="shared" si="158"/>
        <v/>
      </c>
      <c r="HQ48" s="146" t="str">
        <f t="shared" si="159"/>
        <v/>
      </c>
      <c r="HR48" s="701" t="str">
        <f t="shared" si="160"/>
        <v/>
      </c>
      <c r="HS48" s="66">
        <f t="shared" si="161"/>
        <v>0</v>
      </c>
      <c r="HT48" s="701" t="str">
        <f t="shared" si="162"/>
        <v/>
      </c>
      <c r="HU48" s="146" t="str">
        <f t="shared" si="163"/>
        <v/>
      </c>
      <c r="HV48" s="701" t="str">
        <f t="shared" si="164"/>
        <v/>
      </c>
      <c r="HW48" s="66">
        <f t="shared" si="165"/>
        <v>0</v>
      </c>
      <c r="HX48" s="701" t="str">
        <f t="shared" si="166"/>
        <v/>
      </c>
      <c r="HY48" s="146" t="str">
        <f t="shared" si="167"/>
        <v/>
      </c>
      <c r="HZ48" s="701" t="str">
        <f t="shared" si="168"/>
        <v/>
      </c>
      <c r="IA48" s="66">
        <f t="shared" si="169"/>
        <v>0</v>
      </c>
      <c r="IB48" s="701" t="str">
        <f t="shared" si="170"/>
        <v/>
      </c>
      <c r="IC48" s="146" t="str">
        <f t="shared" si="171"/>
        <v/>
      </c>
      <c r="ID48" s="701" t="str">
        <f t="shared" si="172"/>
        <v/>
      </c>
      <c r="IE48" s="66">
        <f t="shared" si="173"/>
        <v>0</v>
      </c>
      <c r="IF48" s="701" t="str">
        <f t="shared" si="174"/>
        <v/>
      </c>
      <c r="IG48" s="146" t="str">
        <f t="shared" si="175"/>
        <v/>
      </c>
      <c r="IH48" s="701" t="str">
        <f t="shared" si="176"/>
        <v/>
      </c>
      <c r="II48" s="66">
        <f t="shared" si="177"/>
        <v>0</v>
      </c>
      <c r="IJ48" s="701" t="str">
        <f t="shared" si="178"/>
        <v/>
      </c>
      <c r="IK48" s="146" t="str">
        <f t="shared" si="179"/>
        <v/>
      </c>
      <c r="IL48" s="701" t="str">
        <f t="shared" si="180"/>
        <v/>
      </c>
      <c r="IM48" s="66">
        <f t="shared" si="181"/>
        <v>0</v>
      </c>
      <c r="IN48" s="701" t="str">
        <f t="shared" si="182"/>
        <v/>
      </c>
      <c r="IO48" s="146" t="str">
        <f t="shared" si="183"/>
        <v/>
      </c>
      <c r="IP48" s="701" t="str">
        <f t="shared" si="184"/>
        <v/>
      </c>
      <c r="IQ48" s="66">
        <f t="shared" si="185"/>
        <v>0</v>
      </c>
      <c r="IR48" s="701" t="str">
        <f t="shared" si="186"/>
        <v/>
      </c>
      <c r="IS48" s="146" t="str">
        <f t="shared" si="187"/>
        <v/>
      </c>
      <c r="IT48" s="701" t="str">
        <f t="shared" si="188"/>
        <v/>
      </c>
      <c r="IU48" s="66">
        <f t="shared" si="189"/>
        <v>0</v>
      </c>
      <c r="IV48" s="701" t="str">
        <f t="shared" si="190"/>
        <v/>
      </c>
      <c r="IW48" s="146" t="str">
        <f t="shared" si="191"/>
        <v/>
      </c>
      <c r="IX48" s="701" t="str">
        <f t="shared" si="192"/>
        <v/>
      </c>
      <c r="IY48" s="66">
        <f t="shared" si="193"/>
        <v>0</v>
      </c>
    </row>
    <row r="49" spans="1:259" s="3" customFormat="1" ht="18" customHeight="1" thickTop="1" thickBot="1" x14ac:dyDescent="0.35">
      <c r="A49" s="1468" t="str">
        <f t="shared" si="194"/>
        <v/>
      </c>
      <c r="B49" s="780" t="str">
        <f t="shared" si="6"/>
        <v/>
      </c>
      <c r="D49" s="525" t="str">
        <f t="shared" si="234"/>
        <v/>
      </c>
      <c r="E49" s="522" t="str">
        <f>IF(DO78="","",SUM($DO$54:DO78))</f>
        <v/>
      </c>
      <c r="F49" s="843"/>
      <c r="G49" s="844"/>
      <c r="H49" s="840"/>
      <c r="I49" s="1228"/>
      <c r="J49" s="841"/>
      <c r="K49" s="842"/>
      <c r="L49" s="1270" t="str">
        <f>IF('Quadro 2'!G37="","",'Quadro 2'!G37)</f>
        <v/>
      </c>
      <c r="M49" s="1270" t="str">
        <f t="shared" si="195"/>
        <v/>
      </c>
      <c r="N49" s="1459" t="str">
        <f t="shared" si="196"/>
        <v/>
      </c>
      <c r="O49" s="1480" t="str">
        <f t="shared" si="197"/>
        <v/>
      </c>
      <c r="P49" s="1271" t="str">
        <f t="shared" si="198"/>
        <v/>
      </c>
      <c r="Q49" s="1489" t="str">
        <f t="shared" si="199"/>
        <v/>
      </c>
      <c r="R49" s="1426" t="str">
        <f t="shared" si="7"/>
        <v/>
      </c>
      <c r="S49" s="848" t="str">
        <f t="shared" si="241"/>
        <v/>
      </c>
      <c r="T49" s="58" t="str">
        <f t="shared" si="9"/>
        <v/>
      </c>
      <c r="U49" s="1133"/>
      <c r="V49" s="143" t="str">
        <f t="shared" si="200"/>
        <v/>
      </c>
      <c r="W49" s="849" t="str">
        <f>IF(OR(H49="",V49="",V49=0),"",IF($V49&gt;'Quadro 1'!$G$23,'Quadro 1'!$G$23,IF($V49&lt;'Quadro 1'!$G$10,'Quadro 1'!$G$10,MIN($X49,$Y49))))</f>
        <v/>
      </c>
      <c r="X49" s="850" t="str">
        <f>IF($V49&lt;='Quadro 1'!$G$10,'Quadro 1'!$G$10,IF($V49&lt;='Quadro 1'!$G$11,'Quadro 1'!$G$11,IF($V49&lt;='Quadro 1'!$G$12,'Quadro 1'!$G$12,IF($V49&lt;='Quadro 1'!$G$13,'Quadro 1'!$G$13,IF($V49&lt;='Quadro 1'!$G$14,'Quadro 1'!$G$14,IF($V49&lt;='Quadro 1'!$G$15,'Quadro 1'!$G$15,IF($V49&lt;='Quadro 1'!$G$16,'Quadro 1'!$G$16,"")))))))</f>
        <v/>
      </c>
      <c r="Y49" s="851" t="str">
        <f>IF(OR(V49="",V49=0),"",IF($V49&lt;='Quadro 1'!$G$17,'Quadro 1'!$G$17,IF($V49&lt;='Quadro 1'!$G$18,'Quadro 1'!$G$18,IF($V49&lt;='Quadro 1'!$G$19,'Quadro 1'!$G$19,IF($V49&lt;='Quadro 1'!$G$20,'Quadro 1'!$G$20,IF($V49&lt;='Quadro 1'!$G$21,'Quadro 1'!$G$21,IF($V49&lt;='Quadro 1'!$G$22,'Quadro 1'!$G$22,IF($V49&lt;='Quadro 1'!$G$23,'Quadro 1'!$G$23,'Quadro 1'!$G$23))))))))</f>
        <v/>
      </c>
      <c r="Z49" s="852" t="str">
        <f>IF(W49="","",LOOKUP(W49,'Quadro 1'!$G$9:$G$23,'Quadro 1'!$H$9:$H$23))</f>
        <v/>
      </c>
      <c r="AA49" s="1417" t="str">
        <f>IF(W49="","",LOOKUP(W49,'Quadro 1'!$G$9:$G$23,'Quadro 1'!$D$9:$D$23))</f>
        <v/>
      </c>
      <c r="AB49" s="853" t="str">
        <f>IF(W49="","",LOOKUP(W49,'Quadro 1'!$G$9:$G$23,'Quadro 1'!$E$9:$E$23))</f>
        <v/>
      </c>
      <c r="AC49" s="1272" t="str">
        <f t="shared" si="201"/>
        <v/>
      </c>
      <c r="AD49" s="1274" t="str">
        <f t="shared" si="240"/>
        <v/>
      </c>
      <c r="AE49" s="1392" t="str">
        <f t="shared" si="202"/>
        <v/>
      </c>
      <c r="AF49" s="1395" t="str">
        <f t="shared" si="203"/>
        <v/>
      </c>
      <c r="AG49" s="1396" t="str">
        <f t="shared" si="204"/>
        <v/>
      </c>
      <c r="AH49" s="1398" t="str">
        <f t="shared" si="11"/>
        <v/>
      </c>
      <c r="AI49" s="1490" t="str">
        <f t="shared" si="235"/>
        <v/>
      </c>
      <c r="AJ49" s="1502" t="str">
        <f>IF(OR($AU$8="",AE49=""),"",IF(BE49=0,"Redimensionar",IF(OR($D49="s",H49&lt;$AU$7,B49="nc",B49="nc1",B49="nc2"),"Não aplicável",IF(AI49&lt;$AM$23,"Conforme","Redimensionar"))))</f>
        <v/>
      </c>
      <c r="AK49" s="1503"/>
      <c r="AL49" s="1503"/>
      <c r="AM49" s="1504"/>
      <c r="AN49" s="1275" t="str">
        <f t="shared" si="12"/>
        <v/>
      </c>
      <c r="AO49" s="1502" t="str">
        <f t="shared" si="13"/>
        <v/>
      </c>
      <c r="AP49" s="1507"/>
      <c r="AQ49" s="1504"/>
      <c r="AR49" s="847"/>
      <c r="AS49" s="1258">
        <f t="shared" si="206"/>
        <v>0</v>
      </c>
      <c r="AT49" s="1256">
        <f t="shared" si="207"/>
        <v>0</v>
      </c>
      <c r="AU49" s="1381">
        <f t="shared" si="242"/>
        <v>1</v>
      </c>
      <c r="AV49" s="157" t="str">
        <f t="shared" si="14"/>
        <v/>
      </c>
      <c r="AW49" s="87" t="str">
        <f t="shared" si="236"/>
        <v/>
      </c>
      <c r="AX49" s="87" t="str">
        <f t="shared" si="15"/>
        <v/>
      </c>
      <c r="AY49" s="1341" t="str">
        <f t="shared" si="209"/>
        <v/>
      </c>
      <c r="AZ49" s="701">
        <f t="shared" si="210"/>
        <v>1</v>
      </c>
      <c r="BA49" s="1338" t="str">
        <f t="shared" si="211"/>
        <v/>
      </c>
      <c r="BB49" s="1335" t="str">
        <f t="shared" si="212"/>
        <v/>
      </c>
      <c r="BC49" s="86" t="str">
        <f t="shared" si="213"/>
        <v/>
      </c>
      <c r="BD49" s="701">
        <f t="shared" si="214"/>
        <v>1</v>
      </c>
      <c r="BE49" s="1273" t="str">
        <f t="shared" si="215"/>
        <v/>
      </c>
      <c r="BF49" s="86" t="str">
        <f t="shared" si="16"/>
        <v/>
      </c>
      <c r="BG49" s="57" t="str">
        <f t="shared" si="17"/>
        <v/>
      </c>
      <c r="BH49" s="1329">
        <f t="shared" si="216"/>
        <v>0</v>
      </c>
      <c r="BI49" s="88">
        <f t="shared" si="217"/>
        <v>0</v>
      </c>
      <c r="BJ49" s="88" t="str">
        <f t="shared" si="18"/>
        <v/>
      </c>
      <c r="BK49" s="88" t="str">
        <f t="shared" si="19"/>
        <v/>
      </c>
      <c r="BL49" s="88" t="str">
        <f t="shared" si="20"/>
        <v/>
      </c>
      <c r="BM49" s="88" t="str">
        <f t="shared" si="21"/>
        <v/>
      </c>
      <c r="BN49" s="88" t="str">
        <f t="shared" si="22"/>
        <v/>
      </c>
      <c r="BO49" s="88" t="str">
        <f t="shared" si="23"/>
        <v/>
      </c>
      <c r="BP49" s="88" t="str">
        <f t="shared" si="24"/>
        <v/>
      </c>
      <c r="BQ49" s="88" t="str">
        <f t="shared" si="25"/>
        <v/>
      </c>
      <c r="BR49" s="88" t="str">
        <f t="shared" si="26"/>
        <v/>
      </c>
      <c r="BS49" s="88" t="str">
        <f t="shared" si="27"/>
        <v/>
      </c>
      <c r="BT49" s="88" t="str">
        <f t="shared" si="28"/>
        <v/>
      </c>
      <c r="BU49" s="88" t="str">
        <f t="shared" si="29"/>
        <v/>
      </c>
      <c r="BV49" s="88" t="str">
        <f t="shared" si="30"/>
        <v/>
      </c>
      <c r="BW49" s="88" t="str">
        <f t="shared" si="31"/>
        <v/>
      </c>
      <c r="BX49" s="88" t="str">
        <f t="shared" si="32"/>
        <v/>
      </c>
      <c r="BY49" s="88" t="str">
        <f t="shared" si="33"/>
        <v/>
      </c>
      <c r="BZ49" s="88" t="str">
        <f t="shared" si="34"/>
        <v/>
      </c>
      <c r="CA49" s="88" t="str">
        <f t="shared" si="35"/>
        <v/>
      </c>
      <c r="CB49" s="88" t="str">
        <f t="shared" si="36"/>
        <v/>
      </c>
      <c r="CC49" s="88" t="str">
        <f t="shared" si="37"/>
        <v/>
      </c>
      <c r="CD49" s="88" t="str">
        <f t="shared" si="38"/>
        <v/>
      </c>
      <c r="CE49" s="88" t="str">
        <f t="shared" si="39"/>
        <v/>
      </c>
      <c r="CF49" s="88" t="str">
        <f t="shared" si="40"/>
        <v/>
      </c>
      <c r="CG49" s="88" t="str">
        <f t="shared" si="41"/>
        <v/>
      </c>
      <c r="CH49" s="88" t="str">
        <f t="shared" si="42"/>
        <v/>
      </c>
      <c r="CI49" s="790" t="str">
        <f t="shared" si="43"/>
        <v>0</v>
      </c>
      <c r="CJ49" s="791">
        <f t="shared" si="44"/>
        <v>0</v>
      </c>
      <c r="CK49" s="784" t="str">
        <f t="shared" si="45"/>
        <v>NA</v>
      </c>
      <c r="CL49" s="784" t="str">
        <f t="shared" si="46"/>
        <v/>
      </c>
      <c r="CM49" s="784" t="str">
        <f t="shared" si="218"/>
        <v/>
      </c>
      <c r="CN49" s="790" t="str">
        <f t="shared" si="47"/>
        <v/>
      </c>
      <c r="CO49" s="790" t="str">
        <f t="shared" si="48"/>
        <v/>
      </c>
      <c r="CP49" s="784" t="str">
        <f t="shared" si="49"/>
        <v/>
      </c>
      <c r="CQ49" s="790" t="str">
        <f t="shared" si="50"/>
        <v/>
      </c>
      <c r="CR49" s="524">
        <f t="shared" si="51"/>
        <v>0</v>
      </c>
      <c r="CS49" s="257" t="str">
        <f t="shared" si="219"/>
        <v/>
      </c>
      <c r="CT49" s="496">
        <f t="shared" si="238"/>
        <v>155.1</v>
      </c>
      <c r="CU49" s="496">
        <f t="shared" si="237"/>
        <v>155.1</v>
      </c>
      <c r="CV49" s="496">
        <f t="shared" si="220"/>
        <v>155.1</v>
      </c>
      <c r="CW49" s="495" t="str">
        <f t="shared" si="52"/>
        <v/>
      </c>
      <c r="CX49" s="497" t="str">
        <f t="shared" si="53"/>
        <v/>
      </c>
      <c r="CY49" s="496" t="str">
        <f t="shared" si="221"/>
        <v/>
      </c>
      <c r="CZ49" s="1456">
        <f t="shared" si="222"/>
        <v>1</v>
      </c>
      <c r="DA49" s="157" t="str">
        <f t="shared" si="223"/>
        <v/>
      </c>
      <c r="DB49" s="213" t="str">
        <f t="shared" si="224"/>
        <v/>
      </c>
      <c r="DC49" s="213" t="str">
        <f t="shared" si="225"/>
        <v/>
      </c>
      <c r="DD49" s="157" t="str">
        <f t="shared" si="54"/>
        <v/>
      </c>
      <c r="DE49" s="157" t="str">
        <f t="shared" si="55"/>
        <v/>
      </c>
      <c r="DF49" s="157" t="str">
        <f t="shared" si="56"/>
        <v/>
      </c>
      <c r="DG49" s="157" t="str">
        <f t="shared" si="57"/>
        <v/>
      </c>
      <c r="DH49" s="157" t="str">
        <f t="shared" si="58"/>
        <v/>
      </c>
      <c r="DI49" s="157" t="str">
        <f t="shared" si="59"/>
        <v/>
      </c>
      <c r="DJ49" s="157" t="str">
        <f t="shared" si="60"/>
        <v/>
      </c>
      <c r="DK49" s="157" t="str">
        <f t="shared" si="61"/>
        <v/>
      </c>
      <c r="DL49" s="157" t="str">
        <f t="shared" si="62"/>
        <v/>
      </c>
      <c r="DM49" s="157" t="str">
        <f t="shared" si="63"/>
        <v/>
      </c>
      <c r="DN49" s="33">
        <v>25</v>
      </c>
      <c r="DO49" s="1466" t="str">
        <f t="shared" si="226"/>
        <v/>
      </c>
      <c r="DP49" s="1014" t="str">
        <f t="shared" si="64"/>
        <v/>
      </c>
      <c r="DQ49" s="1026" t="str">
        <f t="shared" si="227"/>
        <v/>
      </c>
      <c r="DR49" s="1026" t="str">
        <f t="shared" si="228"/>
        <v/>
      </c>
      <c r="DS49" s="93" t="str">
        <f t="shared" si="65"/>
        <v/>
      </c>
      <c r="DT49" s="213" t="str">
        <f t="shared" si="66"/>
        <v/>
      </c>
      <c r="DU49" s="144" t="str">
        <f t="shared" si="67"/>
        <v/>
      </c>
      <c r="DV49" s="144" t="str">
        <f t="shared" si="68"/>
        <v/>
      </c>
      <c r="DW49" s="144" t="str">
        <f t="shared" si="69"/>
        <v/>
      </c>
      <c r="DX49" s="144" t="str">
        <f t="shared" si="70"/>
        <v/>
      </c>
      <c r="DY49" s="144" t="str">
        <f t="shared" si="71"/>
        <v/>
      </c>
      <c r="DZ49" s="144" t="str">
        <f t="shared" si="72"/>
        <v/>
      </c>
      <c r="EA49" s="144" t="str">
        <f t="shared" si="73"/>
        <v/>
      </c>
      <c r="EB49" s="144" t="str">
        <f t="shared" si="74"/>
        <v/>
      </c>
      <c r="EC49" s="144" t="str">
        <f t="shared" si="75"/>
        <v/>
      </c>
      <c r="ED49" s="144" t="str">
        <f t="shared" si="76"/>
        <v/>
      </c>
      <c r="EE49" s="144" t="str">
        <f t="shared" si="77"/>
        <v/>
      </c>
      <c r="EF49" s="144" t="str">
        <f t="shared" si="78"/>
        <v/>
      </c>
      <c r="EG49" s="144" t="str">
        <f t="shared" si="79"/>
        <v/>
      </c>
      <c r="EH49" s="144" t="str">
        <f t="shared" si="80"/>
        <v/>
      </c>
      <c r="EI49" s="144" t="str">
        <f t="shared" si="81"/>
        <v/>
      </c>
      <c r="EJ49" s="144" t="str">
        <f t="shared" si="82"/>
        <v/>
      </c>
      <c r="EK49" s="144" t="str">
        <f t="shared" si="83"/>
        <v/>
      </c>
      <c r="EL49" s="144" t="str">
        <f t="shared" si="84"/>
        <v/>
      </c>
      <c r="EM49" s="144" t="str">
        <f t="shared" si="85"/>
        <v/>
      </c>
      <c r="EN49" s="719" t="str">
        <f t="shared" si="86"/>
        <v/>
      </c>
      <c r="EO49" s="719" t="str">
        <f t="shared" si="87"/>
        <v/>
      </c>
      <c r="EP49" s="719" t="str">
        <f t="shared" si="88"/>
        <v/>
      </c>
      <c r="EQ49" s="719" t="str">
        <f t="shared" si="89"/>
        <v/>
      </c>
      <c r="ER49" s="719" t="str">
        <f t="shared" si="90"/>
        <v/>
      </c>
      <c r="EU49" s="33">
        <v>25</v>
      </c>
      <c r="EV49" s="735" t="str">
        <f t="shared" si="91"/>
        <v>Crítico</v>
      </c>
      <c r="EW49" s="741">
        <f t="shared" si="92"/>
        <v>1</v>
      </c>
      <c r="EX49" s="121" t="str">
        <f t="shared" si="93"/>
        <v>Crítico</v>
      </c>
      <c r="EY49" s="124">
        <f t="shared" si="229"/>
        <v>1</v>
      </c>
      <c r="EZ49" s="121" t="str">
        <f t="shared" si="94"/>
        <v>Crítico</v>
      </c>
      <c r="FA49" s="122">
        <f t="shared" si="95"/>
        <v>1</v>
      </c>
      <c r="FB49" s="18">
        <f t="shared" si="96"/>
        <v>0</v>
      </c>
      <c r="FC49" s="254" t="str">
        <f t="shared" si="97"/>
        <v/>
      </c>
      <c r="FD49" s="76" t="str">
        <f t="shared" si="230"/>
        <v/>
      </c>
      <c r="FE49" s="18">
        <f t="shared" si="231"/>
        <v>0</v>
      </c>
      <c r="FF49" s="703">
        <f t="shared" si="98"/>
        <v>0</v>
      </c>
      <c r="FG49" s="702">
        <f t="shared" si="99"/>
        <v>0</v>
      </c>
      <c r="FH49" s="19">
        <f t="shared" si="232"/>
        <v>0</v>
      </c>
      <c r="FI49" s="238" t="str">
        <f t="shared" si="233"/>
        <v/>
      </c>
      <c r="FJ49" s="701" t="str">
        <f t="shared" si="100"/>
        <v/>
      </c>
      <c r="FK49" s="66">
        <f t="shared" si="101"/>
        <v>0</v>
      </c>
      <c r="FL49" s="701" t="str">
        <f t="shared" si="102"/>
        <v/>
      </c>
      <c r="FM49" s="146" t="str">
        <f t="shared" si="103"/>
        <v/>
      </c>
      <c r="FN49" s="701" t="str">
        <f t="shared" si="104"/>
        <v/>
      </c>
      <c r="FO49" s="66">
        <f t="shared" si="105"/>
        <v>0</v>
      </c>
      <c r="FP49" s="701" t="str">
        <f t="shared" si="106"/>
        <v/>
      </c>
      <c r="FQ49" s="146" t="str">
        <f t="shared" si="107"/>
        <v/>
      </c>
      <c r="FR49" s="701" t="str">
        <f t="shared" si="108"/>
        <v/>
      </c>
      <c r="FS49" s="66">
        <f t="shared" si="109"/>
        <v>0</v>
      </c>
      <c r="FT49" s="701" t="str">
        <f t="shared" si="110"/>
        <v/>
      </c>
      <c r="FU49" s="146" t="str">
        <f t="shared" si="111"/>
        <v/>
      </c>
      <c r="FV49" s="701" t="str">
        <f t="shared" si="112"/>
        <v/>
      </c>
      <c r="FW49" s="66">
        <f t="shared" si="113"/>
        <v>0</v>
      </c>
      <c r="FX49" s="701" t="str">
        <f t="shared" si="114"/>
        <v/>
      </c>
      <c r="FY49" s="146" t="str">
        <f t="shared" si="115"/>
        <v/>
      </c>
      <c r="FZ49" s="701" t="str">
        <f t="shared" si="116"/>
        <v/>
      </c>
      <c r="GA49" s="66">
        <f t="shared" si="117"/>
        <v>0</v>
      </c>
      <c r="GB49" s="701" t="str">
        <f t="shared" si="118"/>
        <v/>
      </c>
      <c r="GC49" s="146" t="str">
        <f t="shared" si="119"/>
        <v/>
      </c>
      <c r="GD49" s="701" t="str">
        <f t="shared" si="120"/>
        <v/>
      </c>
      <c r="GE49" s="66">
        <f t="shared" si="121"/>
        <v>0</v>
      </c>
      <c r="GF49" s="701" t="str">
        <f t="shared" si="122"/>
        <v/>
      </c>
      <c r="GG49" s="146" t="str">
        <f t="shared" si="123"/>
        <v/>
      </c>
      <c r="GH49" s="701" t="str">
        <f t="shared" si="124"/>
        <v/>
      </c>
      <c r="GI49" s="66">
        <f t="shared" si="125"/>
        <v>0</v>
      </c>
      <c r="GJ49" s="701" t="str">
        <f t="shared" si="126"/>
        <v/>
      </c>
      <c r="GK49" s="146" t="str">
        <f t="shared" si="127"/>
        <v/>
      </c>
      <c r="GL49" s="701" t="str">
        <f t="shared" si="128"/>
        <v/>
      </c>
      <c r="GM49" s="66">
        <f t="shared" si="129"/>
        <v>0</v>
      </c>
      <c r="GN49" s="701" t="str">
        <f t="shared" si="130"/>
        <v/>
      </c>
      <c r="GO49" s="146" t="str">
        <f t="shared" si="131"/>
        <v/>
      </c>
      <c r="GP49" s="701" t="str">
        <f t="shared" si="132"/>
        <v/>
      </c>
      <c r="GQ49" s="66">
        <f t="shared" si="133"/>
        <v>0</v>
      </c>
      <c r="GR49" s="701" t="str">
        <f t="shared" si="134"/>
        <v/>
      </c>
      <c r="GS49" s="146" t="str">
        <f t="shared" si="135"/>
        <v/>
      </c>
      <c r="GT49" s="701" t="str">
        <f t="shared" si="136"/>
        <v/>
      </c>
      <c r="GU49" s="66">
        <f t="shared" si="137"/>
        <v>0</v>
      </c>
      <c r="GV49" s="701" t="str">
        <f t="shared" si="138"/>
        <v/>
      </c>
      <c r="GW49" s="146" t="str">
        <f t="shared" si="139"/>
        <v/>
      </c>
      <c r="GX49" s="701" t="str">
        <f t="shared" si="140"/>
        <v/>
      </c>
      <c r="GY49" s="66">
        <f t="shared" si="141"/>
        <v>0</v>
      </c>
      <c r="GZ49" s="701" t="str">
        <f t="shared" si="142"/>
        <v/>
      </c>
      <c r="HA49" s="146" t="str">
        <f t="shared" si="143"/>
        <v/>
      </c>
      <c r="HB49" s="701" t="str">
        <f t="shared" si="144"/>
        <v/>
      </c>
      <c r="HC49" s="66">
        <f t="shared" si="145"/>
        <v>0</v>
      </c>
      <c r="HD49" s="701" t="str">
        <f t="shared" si="146"/>
        <v/>
      </c>
      <c r="HE49" s="146" t="str">
        <f t="shared" si="147"/>
        <v/>
      </c>
      <c r="HF49" s="701" t="str">
        <f t="shared" si="148"/>
        <v/>
      </c>
      <c r="HG49" s="66">
        <f t="shared" si="149"/>
        <v>0</v>
      </c>
      <c r="HH49" s="701" t="str">
        <f t="shared" si="150"/>
        <v/>
      </c>
      <c r="HI49" s="146" t="str">
        <f t="shared" si="151"/>
        <v/>
      </c>
      <c r="HJ49" s="701" t="str">
        <f t="shared" si="152"/>
        <v/>
      </c>
      <c r="HK49" s="66">
        <f t="shared" si="153"/>
        <v>0</v>
      </c>
      <c r="HL49" s="701" t="str">
        <f t="shared" si="154"/>
        <v/>
      </c>
      <c r="HM49" s="146" t="str">
        <f t="shared" si="155"/>
        <v/>
      </c>
      <c r="HN49" s="701" t="str">
        <f t="shared" si="156"/>
        <v/>
      </c>
      <c r="HO49" s="66">
        <f t="shared" si="157"/>
        <v>0</v>
      </c>
      <c r="HP49" s="701" t="str">
        <f t="shared" si="158"/>
        <v/>
      </c>
      <c r="HQ49" s="146" t="str">
        <f t="shared" si="159"/>
        <v/>
      </c>
      <c r="HR49" s="701" t="str">
        <f t="shared" si="160"/>
        <v/>
      </c>
      <c r="HS49" s="66">
        <f t="shared" si="161"/>
        <v>0</v>
      </c>
      <c r="HT49" s="701" t="str">
        <f t="shared" si="162"/>
        <v/>
      </c>
      <c r="HU49" s="146" t="str">
        <f t="shared" si="163"/>
        <v/>
      </c>
      <c r="HV49" s="701" t="str">
        <f t="shared" si="164"/>
        <v/>
      </c>
      <c r="HW49" s="66">
        <f t="shared" si="165"/>
        <v>0</v>
      </c>
      <c r="HX49" s="701" t="str">
        <f t="shared" si="166"/>
        <v/>
      </c>
      <c r="HY49" s="146" t="str">
        <f t="shared" si="167"/>
        <v/>
      </c>
      <c r="HZ49" s="701" t="str">
        <f t="shared" si="168"/>
        <v/>
      </c>
      <c r="IA49" s="66">
        <f t="shared" si="169"/>
        <v>0</v>
      </c>
      <c r="IB49" s="701" t="str">
        <f t="shared" si="170"/>
        <v/>
      </c>
      <c r="IC49" s="146" t="str">
        <f t="shared" si="171"/>
        <v/>
      </c>
      <c r="ID49" s="701" t="str">
        <f t="shared" si="172"/>
        <v/>
      </c>
      <c r="IE49" s="66">
        <f t="shared" si="173"/>
        <v>0</v>
      </c>
      <c r="IF49" s="701" t="str">
        <f t="shared" si="174"/>
        <v/>
      </c>
      <c r="IG49" s="146" t="str">
        <f t="shared" si="175"/>
        <v/>
      </c>
      <c r="IH49" s="701" t="str">
        <f t="shared" si="176"/>
        <v/>
      </c>
      <c r="II49" s="66">
        <f t="shared" si="177"/>
        <v>0</v>
      </c>
      <c r="IJ49" s="701" t="str">
        <f t="shared" si="178"/>
        <v/>
      </c>
      <c r="IK49" s="146" t="str">
        <f t="shared" si="179"/>
        <v/>
      </c>
      <c r="IL49" s="701" t="str">
        <f t="shared" si="180"/>
        <v/>
      </c>
      <c r="IM49" s="66">
        <f t="shared" si="181"/>
        <v>0</v>
      </c>
      <c r="IN49" s="701" t="str">
        <f t="shared" si="182"/>
        <v/>
      </c>
      <c r="IO49" s="146" t="str">
        <f t="shared" si="183"/>
        <v/>
      </c>
      <c r="IP49" s="701" t="str">
        <f t="shared" si="184"/>
        <v/>
      </c>
      <c r="IQ49" s="66">
        <f t="shared" si="185"/>
        <v>0</v>
      </c>
      <c r="IR49" s="701" t="str">
        <f t="shared" si="186"/>
        <v/>
      </c>
      <c r="IS49" s="146" t="str">
        <f t="shared" si="187"/>
        <v/>
      </c>
      <c r="IT49" s="701" t="str">
        <f t="shared" si="188"/>
        <v/>
      </c>
      <c r="IU49" s="66">
        <f t="shared" si="189"/>
        <v>0</v>
      </c>
      <c r="IV49" s="701" t="str">
        <f t="shared" si="190"/>
        <v/>
      </c>
      <c r="IW49" s="146" t="str">
        <f t="shared" si="191"/>
        <v/>
      </c>
      <c r="IX49" s="701" t="str">
        <f t="shared" si="192"/>
        <v/>
      </c>
      <c r="IY49" s="66">
        <f t="shared" si="193"/>
        <v>0</v>
      </c>
    </row>
    <row r="50" spans="1:259" ht="14.25" customHeight="1" thickTop="1" thickBot="1" x14ac:dyDescent="0.35">
      <c r="D50" s="50"/>
      <c r="E50" s="20"/>
      <c r="F50" s="21"/>
      <c r="G50" s="21"/>
      <c r="H50" s="778"/>
      <c r="I50" s="779"/>
      <c r="J50" s="461"/>
      <c r="K50" s="461"/>
      <c r="L50" s="460"/>
      <c r="M50" s="823"/>
      <c r="N50" s="823"/>
      <c r="O50" s="823"/>
      <c r="P50" s="826"/>
      <c r="Q50" s="825"/>
      <c r="R50" s="825"/>
      <c r="S50" s="825"/>
      <c r="T50" s="281" t="str">
        <f t="shared" si="9"/>
        <v/>
      </c>
      <c r="U50" s="793" t="str">
        <f>IF($CI$24="","","Atenção: o diâmetro do troço assinalado a vermelho tem de ser superior ou igual ao do troço a jusante.")</f>
        <v/>
      </c>
      <c r="V50" s="23"/>
      <c r="W50" s="24"/>
      <c r="X50" s="24"/>
      <c r="Y50" s="24"/>
      <c r="Z50" s="22"/>
      <c r="AA50" s="22"/>
      <c r="AB50" s="25"/>
      <c r="AC50" s="26"/>
      <c r="AD50" s="27"/>
      <c r="AE50" s="27"/>
      <c r="AF50" s="27"/>
      <c r="AG50" s="23"/>
      <c r="AH50" s="28"/>
      <c r="AI50" s="23"/>
      <c r="AJ50" s="23"/>
      <c r="AK50" s="23"/>
      <c r="AL50" s="23"/>
      <c r="AM50" s="29"/>
      <c r="AN50" s="30"/>
      <c r="AO50" s="31"/>
      <c r="AP50" s="31"/>
      <c r="AQ50" s="32"/>
      <c r="CI50" s="3"/>
      <c r="CJ50" s="3"/>
      <c r="CP50" s="33"/>
      <c r="CQ50" s="786">
        <f>SUM(CQ25:CQ49)</f>
        <v>0</v>
      </c>
      <c r="CR50" s="524">
        <f>SUM(CR25:CR49)</f>
        <v>0</v>
      </c>
      <c r="CS50" s="708"/>
      <c r="DS50" s="44" t="str">
        <f>IF(OR(DT9="",DT9=0),"",COUNTIF($DT$25:$ER$49,DT9))</f>
        <v/>
      </c>
      <c r="DT50" s="796"/>
      <c r="DU50" s="699"/>
      <c r="EU50" s="3"/>
      <c r="EV50" s="226" t="s">
        <v>123</v>
      </c>
      <c r="EW50" s="227">
        <f>SUM(EW25:EW49)</f>
        <v>25</v>
      </c>
      <c r="EX50" s="226" t="s">
        <v>123</v>
      </c>
      <c r="EY50" s="227">
        <f>SUM(EY25:EY49)</f>
        <v>25</v>
      </c>
      <c r="EZ50" s="226" t="s">
        <v>123</v>
      </c>
      <c r="FA50" s="227">
        <f>SUM(FA25:FA49)</f>
        <v>25</v>
      </c>
      <c r="FB50" s="228">
        <f>MAX(FB25:FB49)</f>
        <v>0</v>
      </c>
      <c r="FC50" s="226"/>
      <c r="FD50" s="227">
        <f>SUM(FD25:FD49)</f>
        <v>0</v>
      </c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</row>
    <row r="51" spans="1:259" s="33" customFormat="1" ht="16.5" customHeight="1" thickTop="1" thickBot="1" x14ac:dyDescent="0.35">
      <c r="D51" s="51"/>
      <c r="E51" s="283"/>
      <c r="I51" s="1551" t="str">
        <f>IF(OR(I52=0,I52=""),"","    Síntese do consumo de tubos de aço - tubagem de compressão:")</f>
        <v/>
      </c>
      <c r="J51" s="1552"/>
      <c r="K51" s="1552"/>
      <c r="L51" s="1552"/>
      <c r="M51" s="1552"/>
      <c r="N51" s="1552"/>
      <c r="O51" s="1552"/>
      <c r="P51" s="1552"/>
      <c r="Q51" s="1552"/>
      <c r="R51" s="1552"/>
      <c r="S51" s="1552"/>
      <c r="T51" s="1552"/>
      <c r="U51" s="1552"/>
      <c r="V51" s="769"/>
      <c r="W51" s="34"/>
      <c r="X51" s="34"/>
      <c r="Y51" s="34"/>
      <c r="Z51" s="25"/>
      <c r="AA51" s="25"/>
      <c r="AB51" s="35"/>
      <c r="AC51" s="36"/>
      <c r="AD51" s="37"/>
      <c r="AE51" s="37"/>
      <c r="AF51" s="37"/>
      <c r="AG51" s="37"/>
      <c r="AH51" s="38"/>
      <c r="AI51" s="39"/>
      <c r="AJ51" s="39"/>
      <c r="AK51" s="39"/>
      <c r="AL51" s="39"/>
      <c r="AM51" s="40"/>
      <c r="AN51" s="38"/>
      <c r="AO51" s="41"/>
      <c r="AP51" s="41"/>
      <c r="AQ51" s="42"/>
      <c r="AR51" s="2"/>
      <c r="AS51" s="2"/>
      <c r="AT51" s="2"/>
      <c r="AU51" s="2"/>
      <c r="AV51" s="2"/>
      <c r="AX51" s="765" t="s">
        <v>562</v>
      </c>
      <c r="AY51" s="765" t="s">
        <v>614</v>
      </c>
      <c r="CI51" s="3"/>
      <c r="CJ51" s="3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O51" s="1"/>
      <c r="DP51" s="1"/>
      <c r="DQ51" s="1"/>
      <c r="DR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S51" s="1484" t="s">
        <v>968</v>
      </c>
      <c r="ET51" s="1482"/>
      <c r="EU51" s="1482"/>
      <c r="EV51" s="221" t="str" cm="1">
        <f t="array" ref="EV51">IF(EU53="","",INDEX(DS54:DS78,EW53))</f>
        <v/>
      </c>
      <c r="EW51" s="1" t="str">
        <f>IF(EW52=0,"",SUMIF($EV$54:$EV$78,EV51,$EW$54:$EW$78))</f>
        <v/>
      </c>
      <c r="EX51" s="225" t="s">
        <v>277</v>
      </c>
      <c r="EY51" s="219"/>
      <c r="EZ51" s="219"/>
      <c r="FA51" s="224"/>
      <c r="FB51" s="224"/>
      <c r="FC51" s="224"/>
      <c r="FE51" s="710">
        <v>10</v>
      </c>
      <c r="FF51" s="212"/>
      <c r="FG51" s="450">
        <f>FG22</f>
        <v>1</v>
      </c>
      <c r="FI51" s="450">
        <f>FG51+1</f>
        <v>2</v>
      </c>
      <c r="FL51" s="450">
        <f>FI51+1</f>
        <v>3</v>
      </c>
      <c r="FM51" s="3"/>
      <c r="FN51" s="3"/>
      <c r="FO51" s="3"/>
      <c r="FP51" s="450">
        <f>FL51+1</f>
        <v>4</v>
      </c>
      <c r="FQ51" s="147"/>
      <c r="FR51" s="147"/>
      <c r="FS51" s="147"/>
      <c r="FT51" s="450">
        <f>FP51+1</f>
        <v>5</v>
      </c>
      <c r="FU51" s="147"/>
      <c r="FV51" s="147"/>
      <c r="FW51" s="147"/>
      <c r="FX51" s="450">
        <f>FT51+1</f>
        <v>6</v>
      </c>
      <c r="FY51" s="147"/>
      <c r="FZ51" s="147"/>
      <c r="GA51" s="147"/>
      <c r="GB51" s="450">
        <f>FX51+1</f>
        <v>7</v>
      </c>
      <c r="GC51" s="147"/>
      <c r="GD51" s="147"/>
      <c r="GE51" s="147"/>
      <c r="GF51" s="450">
        <f>GB51+1</f>
        <v>8</v>
      </c>
      <c r="GG51" s="147"/>
      <c r="GH51" s="147"/>
      <c r="GI51" s="147"/>
      <c r="GJ51" s="450">
        <f>GF51+1</f>
        <v>9</v>
      </c>
      <c r="GK51" s="147"/>
      <c r="GL51" s="147"/>
      <c r="GM51" s="147"/>
      <c r="GN51" s="450">
        <f>GJ51+1</f>
        <v>10</v>
      </c>
      <c r="GO51" s="147"/>
      <c r="GP51" s="147"/>
      <c r="GQ51" s="147"/>
      <c r="GR51" s="450">
        <f>GN51+1</f>
        <v>11</v>
      </c>
      <c r="GS51" s="147"/>
      <c r="GT51" s="147"/>
      <c r="GU51" s="147"/>
      <c r="GV51" s="450">
        <f>GR51+1</f>
        <v>12</v>
      </c>
      <c r="GW51" s="147"/>
      <c r="GX51" s="147"/>
      <c r="GY51" s="147"/>
      <c r="GZ51" s="450">
        <f>GV51+1</f>
        <v>13</v>
      </c>
      <c r="HA51" s="147"/>
      <c r="HB51" s="147"/>
      <c r="HC51" s="147"/>
      <c r="HD51" s="450">
        <f>GZ51+1</f>
        <v>14</v>
      </c>
      <c r="HE51" s="147"/>
      <c r="HF51" s="147"/>
      <c r="HG51" s="147"/>
      <c r="HH51" s="450">
        <f>HD51+1</f>
        <v>15</v>
      </c>
      <c r="HI51" s="147"/>
      <c r="HJ51" s="147"/>
      <c r="HK51" s="147"/>
      <c r="HL51" s="450">
        <f>HH51+1</f>
        <v>16</v>
      </c>
      <c r="HM51" s="147"/>
      <c r="HN51" s="147"/>
      <c r="HO51" s="147"/>
      <c r="HP51" s="450">
        <f>HL51+1</f>
        <v>17</v>
      </c>
      <c r="HQ51" s="147"/>
      <c r="HR51" s="147"/>
      <c r="HS51" s="147"/>
      <c r="HT51" s="450">
        <f>HP51+1</f>
        <v>18</v>
      </c>
      <c r="HU51" s="147"/>
      <c r="HV51" s="147"/>
      <c r="HW51" s="147"/>
      <c r="HX51" s="450">
        <f>HT51+1</f>
        <v>19</v>
      </c>
      <c r="HY51" s="147"/>
      <c r="HZ51" s="147"/>
      <c r="IA51" s="147"/>
      <c r="IB51" s="450">
        <f>HX51+1</f>
        <v>20</v>
      </c>
      <c r="IC51" s="147"/>
      <c r="ID51" s="147"/>
      <c r="IE51" s="147"/>
      <c r="IF51" s="450">
        <f>IB51+1</f>
        <v>21</v>
      </c>
      <c r="IG51" s="147"/>
      <c r="IH51" s="147"/>
      <c r="II51" s="147"/>
      <c r="IJ51" s="450">
        <f>IF51+1</f>
        <v>22</v>
      </c>
      <c r="IK51" s="147"/>
      <c r="IL51" s="147"/>
      <c r="IM51" s="147"/>
      <c r="IN51" s="450">
        <f>IJ51+1</f>
        <v>23</v>
      </c>
      <c r="IO51" s="147"/>
      <c r="IP51" s="147"/>
      <c r="IQ51" s="147"/>
      <c r="IR51" s="450">
        <f>IN51+1</f>
        <v>24</v>
      </c>
      <c r="IS51" s="147"/>
      <c r="IT51" s="147"/>
      <c r="IU51" s="147"/>
      <c r="IV51" s="450">
        <f>IR51+1</f>
        <v>25</v>
      </c>
      <c r="IW51" s="147"/>
      <c r="IX51" s="147"/>
      <c r="IY51" s="147"/>
    </row>
    <row r="52" spans="1:259" ht="14.25" customHeight="1" thickTop="1" thickBot="1" x14ac:dyDescent="0.55000000000000004">
      <c r="D52" s="50"/>
      <c r="E52" s="20"/>
      <c r="I52" s="684" t="str">
        <f t="shared" ref="I52:I57" si="243">IF(OR($EC111="",$EC111=0),"",$EC111)</f>
        <v/>
      </c>
      <c r="J52" s="685" t="str">
        <f t="shared" ref="J52:J57" si="244">IF(OR($EC111="",$EC111=0),"",ED111)</f>
        <v/>
      </c>
      <c r="K52" s="768" t="str">
        <f>IF(OR($EC111="",$EC111=0),"","- Tubo de aço série M ("&amp;EB111&amp;")")</f>
        <v/>
      </c>
      <c r="L52" s="33"/>
      <c r="M52" s="33"/>
      <c r="N52" s="33"/>
      <c r="O52" s="33"/>
      <c r="P52" s="684" t="str">
        <f t="shared" ref="P52:P57" si="245">IF(OR($EC117="",$EC117=0),"",$EC117)</f>
        <v/>
      </c>
      <c r="Q52" s="685" t="str">
        <f t="shared" ref="Q52:Q57" si="246">IF(OR($EC117="",$EC117=0),"",ED117)</f>
        <v/>
      </c>
      <c r="R52" s="768" t="str">
        <f t="shared" ref="R52:R57" si="247">IF(OR($EC117="",$EC117=0),"","- Tubo de aço série M ("&amp;EB117&amp;")")</f>
        <v/>
      </c>
      <c r="S52" s="33"/>
      <c r="T52" s="769"/>
      <c r="U52" s="1260"/>
      <c r="V52" s="769"/>
      <c r="W52" s="43"/>
      <c r="X52" s="43"/>
      <c r="Y52" s="43"/>
      <c r="Z52" s="25"/>
      <c r="AA52" s="25"/>
      <c r="AB52" s="25"/>
      <c r="AC52" s="288"/>
      <c r="AE52" s="280"/>
      <c r="AF52" s="280"/>
      <c r="AG52" s="768"/>
      <c r="AH52" s="281"/>
      <c r="AI52" s="282"/>
      <c r="AJ52" s="23"/>
      <c r="AK52" s="23"/>
      <c r="AL52" s="23"/>
      <c r="AM52" s="29"/>
      <c r="AN52" s="30"/>
      <c r="AO52" s="31"/>
      <c r="AP52" s="31"/>
      <c r="AQ52" s="32"/>
      <c r="AT52" s="125" t="s">
        <v>309</v>
      </c>
      <c r="AU52" s="466"/>
      <c r="AV52" s="466"/>
      <c r="AX52" s="240">
        <f>IF(AND($FB$53&lt;&gt;"",MAX($AX$54:$AX$78)&lt;=$AU$7),MAX($AX$54:$AX$78),$AU$7)</f>
        <v>5</v>
      </c>
      <c r="AY52" s="240" t="str">
        <f>IF(OR(AX52="",AY53=""),"",IF(AX52=0,"",AY53/AX52))</f>
        <v/>
      </c>
      <c r="AZ52" s="118"/>
      <c r="BA52" s="118"/>
      <c r="BB52" s="811" t="s">
        <v>612</v>
      </c>
      <c r="BC52" s="810" t="s">
        <v>609</v>
      </c>
      <c r="BD52" s="118"/>
      <c r="BE52" s="118"/>
      <c r="BF52" s="118"/>
      <c r="BG52" s="190"/>
      <c r="BH52" s="721" t="s">
        <v>561</v>
      </c>
      <c r="BI52" s="764" t="s">
        <v>606</v>
      </c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3"/>
      <c r="CI52" s="3"/>
      <c r="CJ52" s="3"/>
      <c r="CR52" s="782" t="s">
        <v>583</v>
      </c>
      <c r="CT52" s="255"/>
      <c r="CU52" s="662" t="s">
        <v>273</v>
      </c>
      <c r="CV52" s="777"/>
      <c r="CX52" s="1023" t="s">
        <v>53</v>
      </c>
      <c r="CY52" s="1023" t="s">
        <v>52</v>
      </c>
      <c r="CZ52" s="1004"/>
      <c r="DA52" s="1004" t="s">
        <v>966</v>
      </c>
      <c r="DB52" s="1008"/>
      <c r="DC52" s="1008"/>
      <c r="DD52" s="1008"/>
      <c r="DE52" s="1008"/>
      <c r="DF52" s="1008"/>
      <c r="DG52" s="1008"/>
      <c r="DJ52" s="834" t="str">
        <f>IF(AND(AU6="",AU7=""),"",IF(AND(MAX(H25:H49)&lt;&gt;P8,MAX(H25:H49)&lt;&gt;AU6,DM53&gt;MIN(2*(AU6/AU7),2*AU7),DJ53&lt;&gt;0,DK53=1),"",IF(AND($DJ$53+$DK$53&gt;0,MAX(H25:H49)&lt;=AU6),1,"")))</f>
        <v/>
      </c>
      <c r="DK52" s="137" t="s">
        <v>631</v>
      </c>
      <c r="DL52" s="1" t="s">
        <v>629</v>
      </c>
      <c r="DM52" s="832" t="s">
        <v>628</v>
      </c>
      <c r="DN52" s="494" t="s">
        <v>539</v>
      </c>
      <c r="DO52" s="822" t="s">
        <v>624</v>
      </c>
      <c r="DS52" s="106" t="s">
        <v>276</v>
      </c>
      <c r="DT52" s="235" t="s">
        <v>75</v>
      </c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1481" cm="1">
        <f t="array" ref="ES52">IF($EV$53="",1,IF(BA24=0,1,INDEX($CZ$25:$CZ$49,DR53)))</f>
        <v>1</v>
      </c>
      <c r="EW52" s="1">
        <f>IF(MAX(EW54:EW78)=0,0,MAX(EW54:EW78))</f>
        <v>0</v>
      </c>
      <c r="EX52" s="831" t="s">
        <v>374</v>
      </c>
      <c r="EY52" s="222" t="s">
        <v>275</v>
      </c>
      <c r="EZ52" s="218"/>
      <c r="FA52" s="220"/>
      <c r="FB52" s="220"/>
      <c r="FC52" s="1479" t="str">
        <f>IF(MAX(FC54:FC78)=0,"",MAX(FC54:FC78))</f>
        <v/>
      </c>
      <c r="FD52" s="231" t="s">
        <v>45</v>
      </c>
      <c r="FE52" s="557" t="s">
        <v>460</v>
      </c>
      <c r="FF52" s="230" t="s">
        <v>77</v>
      </c>
      <c r="FG52" s="230" t="s">
        <v>75</v>
      </c>
      <c r="FH52" s="62" t="s">
        <v>96</v>
      </c>
      <c r="FI52" s="65"/>
      <c r="FJ52" s="59"/>
      <c r="FK52" s="63" t="s">
        <v>74</v>
      </c>
      <c r="FL52" s="64"/>
      <c r="FM52" s="62" t="s">
        <v>96</v>
      </c>
      <c r="FN52" s="59"/>
      <c r="FO52" s="63" t="s">
        <v>74</v>
      </c>
      <c r="FP52" s="148"/>
      <c r="FQ52" s="62" t="s">
        <v>96</v>
      </c>
      <c r="FR52" s="59"/>
      <c r="FS52" s="63" t="s">
        <v>74</v>
      </c>
      <c r="FT52" s="148"/>
      <c r="FU52" s="62" t="s">
        <v>96</v>
      </c>
      <c r="FV52" s="59"/>
      <c r="FW52" s="63" t="s">
        <v>74</v>
      </c>
      <c r="FX52" s="148"/>
      <c r="FY52" s="62" t="s">
        <v>96</v>
      </c>
      <c r="FZ52" s="59"/>
      <c r="GA52" s="63" t="s">
        <v>74</v>
      </c>
      <c r="GB52" s="148"/>
      <c r="GC52" s="62" t="s">
        <v>96</v>
      </c>
      <c r="GD52" s="59"/>
      <c r="GE52" s="63" t="s">
        <v>74</v>
      </c>
      <c r="GF52" s="148"/>
      <c r="GG52" s="62" t="s">
        <v>96</v>
      </c>
      <c r="GH52" s="59"/>
      <c r="GI52" s="63" t="s">
        <v>74</v>
      </c>
      <c r="GJ52" s="148"/>
      <c r="GK52" s="62" t="s">
        <v>96</v>
      </c>
      <c r="GL52" s="59"/>
      <c r="GM52" s="63" t="s">
        <v>74</v>
      </c>
      <c r="GN52" s="148"/>
      <c r="GO52" s="62" t="s">
        <v>96</v>
      </c>
      <c r="GP52" s="59"/>
      <c r="GQ52" s="63" t="s">
        <v>74</v>
      </c>
      <c r="GR52" s="148"/>
      <c r="GS52" s="62" t="s">
        <v>96</v>
      </c>
      <c r="GT52" s="59"/>
      <c r="GU52" s="63" t="s">
        <v>74</v>
      </c>
      <c r="GV52" s="148"/>
      <c r="GW52" s="62" t="s">
        <v>96</v>
      </c>
      <c r="GX52" s="59"/>
      <c r="GY52" s="63" t="s">
        <v>74</v>
      </c>
      <c r="GZ52" s="148"/>
      <c r="HA52" s="62" t="s">
        <v>96</v>
      </c>
      <c r="HB52" s="59"/>
      <c r="HC52" s="63" t="s">
        <v>74</v>
      </c>
      <c r="HD52" s="148"/>
      <c r="HE52" s="62" t="s">
        <v>96</v>
      </c>
      <c r="HF52" s="59"/>
      <c r="HG52" s="63" t="s">
        <v>74</v>
      </c>
      <c r="HH52" s="148"/>
      <c r="HI52" s="62" t="s">
        <v>96</v>
      </c>
      <c r="HJ52" s="59"/>
      <c r="HK52" s="63" t="s">
        <v>74</v>
      </c>
      <c r="HL52" s="148"/>
      <c r="HM52" s="62" t="s">
        <v>96</v>
      </c>
      <c r="HN52" s="59"/>
      <c r="HO52" s="63" t="s">
        <v>74</v>
      </c>
      <c r="HP52" s="148"/>
      <c r="HQ52" s="62" t="s">
        <v>96</v>
      </c>
      <c r="HR52" s="59"/>
      <c r="HS52" s="63" t="s">
        <v>74</v>
      </c>
      <c r="HT52" s="148"/>
      <c r="HU52" s="62" t="s">
        <v>96</v>
      </c>
      <c r="HV52" s="59"/>
      <c r="HW52" s="63" t="s">
        <v>74</v>
      </c>
      <c r="HX52" s="148"/>
      <c r="HY52" s="62" t="s">
        <v>96</v>
      </c>
      <c r="HZ52" s="59"/>
      <c r="IA52" s="63" t="s">
        <v>74</v>
      </c>
      <c r="IB52" s="148"/>
      <c r="IC52" s="62" t="s">
        <v>96</v>
      </c>
      <c r="ID52" s="59"/>
      <c r="IE52" s="63" t="s">
        <v>74</v>
      </c>
      <c r="IF52" s="148"/>
      <c r="IG52" s="62" t="s">
        <v>96</v>
      </c>
      <c r="IH52" s="59"/>
      <c r="II52" s="63" t="s">
        <v>74</v>
      </c>
      <c r="IJ52" s="148"/>
      <c r="IK52" s="62" t="s">
        <v>96</v>
      </c>
      <c r="IL52" s="59"/>
      <c r="IM52" s="63" t="s">
        <v>74</v>
      </c>
      <c r="IN52" s="148"/>
      <c r="IO52" s="62" t="s">
        <v>96</v>
      </c>
      <c r="IP52" s="59"/>
      <c r="IQ52" s="63" t="s">
        <v>74</v>
      </c>
      <c r="IR52" s="148"/>
      <c r="IS52" s="62" t="s">
        <v>96</v>
      </c>
      <c r="IT52" s="59"/>
      <c r="IU52" s="63" t="s">
        <v>74</v>
      </c>
      <c r="IV52" s="148"/>
      <c r="IW52" s="62" t="s">
        <v>96</v>
      </c>
      <c r="IX52" s="59"/>
      <c r="IY52" s="63" t="s">
        <v>74</v>
      </c>
    </row>
    <row r="53" spans="1:259" ht="14.25" customHeight="1" thickTop="1" thickBot="1" x14ac:dyDescent="0.35">
      <c r="D53" s="50"/>
      <c r="E53" s="6"/>
      <c r="I53" s="684" t="str">
        <f t="shared" si="243"/>
        <v/>
      </c>
      <c r="J53" s="685" t="str">
        <f t="shared" si="244"/>
        <v/>
      </c>
      <c r="K53" s="768" t="str">
        <f>IF(OR($EC112="",$EC112=0),"","- Tubo de aço série M ("&amp;EB112&amp;")")</f>
        <v/>
      </c>
      <c r="L53" s="33"/>
      <c r="M53" s="33"/>
      <c r="P53" s="684" t="str">
        <f t="shared" si="245"/>
        <v/>
      </c>
      <c r="Q53" s="685" t="str">
        <f t="shared" si="246"/>
        <v/>
      </c>
      <c r="R53" s="768" t="str">
        <f t="shared" si="247"/>
        <v/>
      </c>
      <c r="S53" s="33"/>
      <c r="T53" s="804"/>
      <c r="U53" s="804"/>
      <c r="V53" s="769"/>
      <c r="W53" s="31"/>
      <c r="X53" s="31"/>
      <c r="Y53" s="31"/>
      <c r="Z53" s="25"/>
      <c r="AA53" s="25"/>
      <c r="AP53" s="698"/>
      <c r="AT53" s="467" t="s">
        <v>83</v>
      </c>
      <c r="AU53" s="80"/>
      <c r="AV53" s="80"/>
      <c r="AW53" s="81"/>
      <c r="AY53" s="815" t="str">
        <f>IF($EV$53&lt;&gt;"",MAX($AY$54:$AY$78),"")</f>
        <v/>
      </c>
      <c r="AZ53" s="819" t="s">
        <v>53</v>
      </c>
      <c r="BA53" s="819" t="s">
        <v>52</v>
      </c>
      <c r="BB53" s="810"/>
      <c r="BC53" s="118"/>
      <c r="BD53" s="118"/>
      <c r="BE53" s="118"/>
      <c r="BF53" s="722" t="s">
        <v>607</v>
      </c>
      <c r="BG53" s="215"/>
      <c r="BH53" s="123"/>
      <c r="BI53" s="67"/>
      <c r="BJ53" s="44">
        <v>1</v>
      </c>
      <c r="BK53" s="44">
        <v>2</v>
      </c>
      <c r="BL53" s="44">
        <v>3</v>
      </c>
      <c r="BM53" s="44">
        <v>4</v>
      </c>
      <c r="BN53" s="44">
        <v>5</v>
      </c>
      <c r="BO53" s="44">
        <v>6</v>
      </c>
      <c r="BP53" s="44">
        <v>7</v>
      </c>
      <c r="BQ53" s="44">
        <v>8</v>
      </c>
      <c r="BR53" s="44">
        <v>9</v>
      </c>
      <c r="BS53" s="44">
        <v>10</v>
      </c>
      <c r="BT53" s="44">
        <v>11</v>
      </c>
      <c r="BU53" s="44">
        <v>12</v>
      </c>
      <c r="BV53" s="44">
        <v>13</v>
      </c>
      <c r="BW53" s="44">
        <v>14</v>
      </c>
      <c r="BX53" s="44">
        <v>15</v>
      </c>
      <c r="BY53" s="44">
        <v>16</v>
      </c>
      <c r="BZ53" s="44">
        <v>17</v>
      </c>
      <c r="CA53" s="44">
        <v>18</v>
      </c>
      <c r="CB53" s="44">
        <v>19</v>
      </c>
      <c r="CC53" s="95">
        <v>20</v>
      </c>
      <c r="CD53" s="44">
        <v>21</v>
      </c>
      <c r="CE53" s="44">
        <v>22</v>
      </c>
      <c r="CF53" s="44">
        <v>23</v>
      </c>
      <c r="CG53" s="44">
        <v>24</v>
      </c>
      <c r="CH53" s="44">
        <v>25</v>
      </c>
      <c r="CI53" s="3"/>
      <c r="CJ53" s="3"/>
      <c r="CR53" s="837" t="s">
        <v>642</v>
      </c>
      <c r="CT53" s="255"/>
      <c r="CU53" s="662" t="s">
        <v>632</v>
      </c>
      <c r="CV53" s="777"/>
      <c r="CX53" s="1024"/>
      <c r="CY53" s="1025"/>
      <c r="CZ53" s="1487">
        <f>COUNTIF(CZ54:CZ78,"ss1")</f>
        <v>0</v>
      </c>
      <c r="DA53" s="1475" t="s">
        <v>967</v>
      </c>
      <c r="DB53" s="1008"/>
      <c r="DC53" s="1008"/>
      <c r="DD53" s="1008"/>
      <c r="DE53" s="1008"/>
      <c r="DF53" s="1008"/>
      <c r="DG53" s="1008"/>
      <c r="DJ53" s="216">
        <f>IF(MAX(DJ54:DJ78)=0,0,MAX(DJ54:DJ78))</f>
        <v>0</v>
      </c>
      <c r="DK53" s="216">
        <f>IF(MAX(DK54:DK78)=0,0,MAX(DK54:DK78))</f>
        <v>0</v>
      </c>
      <c r="DM53" s="216">
        <f>IF(SUM(DM54:DM78)=0,0,SUM(DM54:DM78))</f>
        <v>0</v>
      </c>
      <c r="DR53" s="1485">
        <f>MAX(DR54:DR78)</f>
        <v>0</v>
      </c>
      <c r="DS53" s="100" t="s">
        <v>43</v>
      </c>
      <c r="DT53" s="44">
        <v>1</v>
      </c>
      <c r="DU53" s="44">
        <v>2</v>
      </c>
      <c r="DV53" s="44">
        <v>3</v>
      </c>
      <c r="DW53" s="44">
        <v>4</v>
      </c>
      <c r="DX53" s="44">
        <v>5</v>
      </c>
      <c r="DY53" s="44">
        <v>6</v>
      </c>
      <c r="DZ53" s="44">
        <v>7</v>
      </c>
      <c r="EA53" s="44">
        <v>8</v>
      </c>
      <c r="EB53" s="44">
        <v>9</v>
      </c>
      <c r="EC53" s="44">
        <v>10</v>
      </c>
      <c r="ED53" s="44">
        <v>11</v>
      </c>
      <c r="EE53" s="44">
        <v>12</v>
      </c>
      <c r="EF53" s="44">
        <v>13</v>
      </c>
      <c r="EG53" s="44">
        <v>14</v>
      </c>
      <c r="EH53" s="44">
        <v>15</v>
      </c>
      <c r="EI53" s="44">
        <v>16</v>
      </c>
      <c r="EJ53" s="44">
        <v>17</v>
      </c>
      <c r="EK53" s="44">
        <v>18</v>
      </c>
      <c r="EL53" s="44">
        <v>19</v>
      </c>
      <c r="EM53" s="44">
        <v>20</v>
      </c>
      <c r="EN53" s="44">
        <v>21</v>
      </c>
      <c r="EO53" s="44">
        <v>22</v>
      </c>
      <c r="EP53" s="44">
        <v>23</v>
      </c>
      <c r="EQ53" s="44">
        <v>24</v>
      </c>
      <c r="ER53" s="44">
        <v>25</v>
      </c>
      <c r="ES53" s="1483">
        <f>IF(EV53="",0,$BC$115*ES52)</f>
        <v>0</v>
      </c>
      <c r="ET53" s="217" t="str">
        <f>EZ53</f>
        <v>l/min</v>
      </c>
      <c r="EU53" s="216" t="str">
        <f>IF(MAX(EU54:EU78)&lt;&gt;0,MAX(EU54:EU78),"")</f>
        <v/>
      </c>
      <c r="EV53" s="221" t="str">
        <f>IF(EU53="","",IF(AND(EW51=$AU$6,EW51&lt;&gt;""),EV51,""))</f>
        <v/>
      </c>
      <c r="EW53" s="494" t="str">
        <f>IF(EU53="","",MATCH(1,EU54:EU78,0))</f>
        <v/>
      </c>
      <c r="EX53" s="724" t="s">
        <v>93</v>
      </c>
      <c r="EY53" s="1323">
        <f>IF(FB53="",0,$BC$84)</f>
        <v>0</v>
      </c>
      <c r="EZ53" s="217" t="str">
        <f>EX53</f>
        <v>l/min</v>
      </c>
      <c r="FA53" s="1461" t="str">
        <f>IF(FC52="","",IF(AND($FB$54&lt;&gt;"",$FC$54=$FC$52),$FB$54,IF(AND($FB$55&lt;&gt;"",$FC$55=$FC$52),$FB$55,IF(AND($FB$56&lt;&gt;"",$FC$56=$FC$52),$FB$56,IF(AND($FB$57&lt;&gt;"",$FC$57=$FC$52),$FB$57,IF(AND($FB$58&lt;&gt;"",$FC$58=$FC$52),$FB$58,IF(AND($FB$59&lt;&gt;"",$FC$59=$FC$52),$FB$59,IF(AND($FB$60&lt;&gt;"",$FC$60=$FC$52),$FB$60,IF(AND($FB$61&lt;&gt;"",$FC$61=$FC$52),$FB$61,IF(AND($FB$62&lt;&gt;"",$FC$62=$FC$52),$FB$62,IF(AND($FB$63&lt;&gt;"",$FC$63=$FC$52),$FB$63,IF(AND($FB$64&lt;&gt;"",$FC$64=$FC$52),$FB$64,IF(AND($FB$65&lt;&gt;"",$FC$65=$FC$52),$FB$65,IF(AND($FB$66&lt;&gt;"",$FC$66=$FC$52),$FB$66,IF(AND($FB$67&lt;&gt;"",$FC$67=$FC$52),$FB$67,IF(AND($FB$68&lt;&gt;"",$FC$68=$FC$52),$FB$68,IF(AND($FB$69&lt;&gt;"",$FC$69=$FC$52),$FB$69,IF(AND($FB$70&lt;&gt;"",$FC$70=$FC$52),$FB$70,IF(AND($FB$71&lt;&gt;"",$FC$71=$FC$52),$FB$71,IF(AND($FB$72&lt;&gt;"",$FC$72=$FC$52),$FB$72,IF(AND($FB$73&lt;&gt;"",$FC$73=$FC$52),$FB$73,IF(AND($FB$74&lt;&gt;"",$FC$74=$FC$52),$FB$74,IF(AND($FB$75&lt;&gt;"",$FC$75=$FC$52),$FB$75,IF(AND($FB$76&lt;&gt;"",$FC$76=$FC$52),$FB$76,IF(AND($FB$77&lt;&gt;"",$FC$77=$FC$52),$FB$77,IF(AND($FB$78&lt;&gt;"",$FC$78=$FC$52),$FB$78,""))))))))))))))))))))))))))</f>
        <v/>
      </c>
      <c r="FB53" s="1478" t="str">
        <f>IF(AND(FB80&lt;&gt;"",FB80=FA53),FB80,IF($FA$53&lt;&gt;"",$FA$53,""))</f>
        <v/>
      </c>
      <c r="FC53" s="776">
        <f>MAX(DN25:DN49)-COUNTBLANK(FB54:FB78)</f>
        <v>0</v>
      </c>
      <c r="FD53" s="233" t="s">
        <v>274</v>
      </c>
      <c r="FE53" s="709" t="s">
        <v>93</v>
      </c>
      <c r="FF53" s="232"/>
      <c r="FG53" s="232"/>
      <c r="FH53" s="67"/>
      <c r="FI53" s="67"/>
      <c r="FJ53" s="67"/>
      <c r="FK53" s="706" t="s">
        <v>45</v>
      </c>
      <c r="FL53" s="16"/>
      <c r="FM53" s="67"/>
      <c r="FN53" s="67"/>
      <c r="FO53" s="706" t="s">
        <v>45</v>
      </c>
      <c r="FP53" s="16"/>
      <c r="FQ53" s="67"/>
      <c r="FR53" s="67"/>
      <c r="FS53" s="706" t="s">
        <v>45</v>
      </c>
      <c r="FT53" s="16"/>
      <c r="FU53" s="67"/>
      <c r="FV53" s="67"/>
      <c r="FW53" s="706" t="s">
        <v>45</v>
      </c>
      <c r="FX53" s="16"/>
      <c r="FY53" s="67"/>
      <c r="FZ53" s="67"/>
      <c r="GA53" s="706" t="s">
        <v>45</v>
      </c>
      <c r="GB53" s="16"/>
      <c r="GC53" s="67"/>
      <c r="GD53" s="67"/>
      <c r="GE53" s="706" t="s">
        <v>45</v>
      </c>
      <c r="GF53" s="16"/>
      <c r="GG53" s="67"/>
      <c r="GH53" s="67"/>
      <c r="GI53" s="706" t="s">
        <v>45</v>
      </c>
      <c r="GJ53" s="16"/>
      <c r="GK53" s="67"/>
      <c r="GL53" s="67"/>
      <c r="GM53" s="706" t="s">
        <v>45</v>
      </c>
      <c r="GN53" s="16"/>
      <c r="GO53" s="67"/>
      <c r="GP53" s="67"/>
      <c r="GQ53" s="706" t="s">
        <v>45</v>
      </c>
      <c r="GR53" s="16"/>
      <c r="GS53" s="67"/>
      <c r="GT53" s="67"/>
      <c r="GU53" s="706" t="s">
        <v>45</v>
      </c>
      <c r="GV53" s="16"/>
      <c r="GW53" s="67"/>
      <c r="GX53" s="67"/>
      <c r="GY53" s="706" t="s">
        <v>45</v>
      </c>
      <c r="GZ53" s="16"/>
      <c r="HA53" s="67"/>
      <c r="HB53" s="67"/>
      <c r="HC53" s="706" t="s">
        <v>45</v>
      </c>
      <c r="HD53" s="16"/>
      <c r="HE53" s="67"/>
      <c r="HF53" s="67"/>
      <c r="HG53" s="706" t="s">
        <v>45</v>
      </c>
      <c r="HH53" s="16"/>
      <c r="HI53" s="67"/>
      <c r="HJ53" s="67"/>
      <c r="HK53" s="706" t="s">
        <v>45</v>
      </c>
      <c r="HL53" s="16"/>
      <c r="HM53" s="67"/>
      <c r="HN53" s="67"/>
      <c r="HO53" s="706" t="s">
        <v>45</v>
      </c>
      <c r="HP53" s="16"/>
      <c r="HQ53" s="67"/>
      <c r="HR53" s="67"/>
      <c r="HS53" s="706" t="s">
        <v>45</v>
      </c>
      <c r="HT53" s="16"/>
      <c r="HU53" s="67"/>
      <c r="HV53" s="67"/>
      <c r="HW53" s="706" t="s">
        <v>45</v>
      </c>
      <c r="HX53" s="16"/>
      <c r="HY53" s="67"/>
      <c r="HZ53" s="67"/>
      <c r="IA53" s="706" t="s">
        <v>45</v>
      </c>
      <c r="IB53" s="16"/>
      <c r="IC53" s="67"/>
      <c r="ID53" s="67"/>
      <c r="IE53" s="706" t="s">
        <v>45</v>
      </c>
      <c r="IF53" s="16"/>
      <c r="IG53" s="67"/>
      <c r="IH53" s="67"/>
      <c r="II53" s="706" t="s">
        <v>45</v>
      </c>
      <c r="IJ53" s="16"/>
      <c r="IK53" s="67"/>
      <c r="IL53" s="67"/>
      <c r="IM53" s="706" t="s">
        <v>45</v>
      </c>
      <c r="IN53" s="16"/>
      <c r="IO53" s="67"/>
      <c r="IP53" s="67"/>
      <c r="IQ53" s="706" t="s">
        <v>45</v>
      </c>
      <c r="IR53" s="16"/>
      <c r="IS53" s="67"/>
      <c r="IT53" s="67"/>
      <c r="IU53" s="706" t="s">
        <v>45</v>
      </c>
      <c r="IV53" s="16"/>
      <c r="IW53" s="67"/>
      <c r="IX53" s="67"/>
      <c r="IY53" s="706" t="s">
        <v>45</v>
      </c>
    </row>
    <row r="54" spans="1:259" s="2" customFormat="1" ht="14.25" customHeight="1" thickTop="1" thickBot="1" x14ac:dyDescent="0.35">
      <c r="D54" s="50"/>
      <c r="E54" s="1"/>
      <c r="G54" s="1"/>
      <c r="H54" s="1"/>
      <c r="I54" s="684" t="str">
        <f t="shared" si="243"/>
        <v/>
      </c>
      <c r="J54" s="685" t="str">
        <f t="shared" si="244"/>
        <v/>
      </c>
      <c r="K54" s="768" t="str">
        <f t="shared" ref="K54:K57" si="248">IF(OR($EC113="",$EC113=0),"","- Tubo de aço série M ("&amp;EB113&amp;")")</f>
        <v/>
      </c>
      <c r="L54" s="33"/>
      <c r="M54" s="33"/>
      <c r="N54" s="1"/>
      <c r="O54" s="1"/>
      <c r="P54" s="684" t="str">
        <f t="shared" si="245"/>
        <v/>
      </c>
      <c r="Q54" s="685" t="str">
        <f t="shared" si="246"/>
        <v/>
      </c>
      <c r="R54" s="768" t="str">
        <f t="shared" si="247"/>
        <v/>
      </c>
      <c r="S54" s="33"/>
      <c r="T54" s="804"/>
      <c r="U54" s="804"/>
      <c r="V54" s="769"/>
      <c r="W54" s="1"/>
      <c r="X54" s="1"/>
      <c r="Y54" s="1"/>
      <c r="Z54" s="25"/>
      <c r="AG54" s="1"/>
      <c r="AP54" s="696"/>
      <c r="AT54" s="87" t="str">
        <f>IF($F25="","",IF($F25=$F$26,$AW$26,IF($F25=$F$27,$AW$27,IF($F25=$F$28,$AW$28,IF($F25=$F$29,$AW$29,IF($F25=$F$30,$AW$30,IF($F25=$F$31,$AW$31,"")))))))</f>
        <v/>
      </c>
      <c r="AU54" s="78" t="str">
        <f t="shared" ref="AU54:AU59" si="249">IF($F25="","",IF($F25=$F$32,$AW$32,IF($F25=$F$33,$AW$33,IF($F25=$F$34,$AW$34,IF($F25=$F$35,$AW$35,IF($F25=$F$36,$AW$36,IF($F25=$F$37,$AW$37,"")))))))</f>
        <v/>
      </c>
      <c r="AV54" s="78" t="str">
        <f t="shared" ref="AV54:AV66" si="250">IF($F25="","",IF($F25=$F$38,$AW$38,IF($F25=$F$39,$AW$39,IF($F25=$F$40,$AW$40,IF($F25=$F$41,$AW$41,IF($F25=$F$42,$AW$42,IF($F25=$F$43,$AW$43,IF($F25=$F$44,$AW$44,""))))))))</f>
        <v/>
      </c>
      <c r="AW54" s="78" t="str">
        <f t="shared" ref="AW54:AW78" si="251">IF($F25="","",IF($F25=$F$45,$AW$45,IF($F25=$F$46,$AW$46,IF($F25=$F$47,$AW$47,IF($F25=$F$48,$AW$48,IF($F25=$F$49,$AW$49,""))))))</f>
        <v/>
      </c>
      <c r="AX54" s="239">
        <f t="shared" ref="AX54:AX78" si="252">IF(AZ54=$FB$53,BH54,"")</f>
        <v>0</v>
      </c>
      <c r="AY54" s="239" t="str">
        <f t="shared" ref="AY54:AY78" si="253">IF(AND(AZ54=$EV$53,H25&lt;&gt;""),H25,"")</f>
        <v/>
      </c>
      <c r="AZ54" s="214" t="str">
        <f t="shared" ref="AZ54:AZ78" si="254">IF(F25="","",F25)</f>
        <v/>
      </c>
      <c r="BA54" s="214" t="str">
        <f t="shared" ref="BA54:BA78" si="255">IF(G25="","",G25)</f>
        <v/>
      </c>
      <c r="BB54" s="214" t="str">
        <f t="shared" ref="BB54:BB78" si="256">IF(AY54="","",IF(AND(AY54&lt;&gt;"",AZ54=$EV$53),DN54,""))</f>
        <v/>
      </c>
      <c r="BC54" s="214" t="str">
        <f t="shared" ref="BC54:BC78" si="257">IF(OR($BB54="",$DT54=""),"",25-COUNTBLANK($DT54:$ER54))</f>
        <v/>
      </c>
      <c r="BD54" s="1322">
        <f>IF(AX54="","",DN54)</f>
        <v>1</v>
      </c>
      <c r="BE54" s="1"/>
      <c r="BF54" s="214" t="str">
        <f t="shared" ref="BF54:BF78" si="258">IF(BG54=0,"",IF(AND(BB54="",BG54=BH54+BI54),1,IF(AND($BB$79&lt;&gt;"",BB54=$BB$79),1,0)))</f>
        <v/>
      </c>
      <c r="BG54" s="94">
        <f t="shared" ref="BG54:BG78" si="259">IF(BH54&lt;=$AU$7,0,MIN(BJ54:CH54))</f>
        <v>0</v>
      </c>
      <c r="BH54" s="94">
        <f t="shared" ref="BH54:BH78" si="260">IF(H25="",0,IF(OR(BB54="",BB54=$BB$79),H25,0))</f>
        <v>0</v>
      </c>
      <c r="BI54" s="94">
        <f t="shared" ref="BI54:BI78" si="261">IF(DS25="",0,DS25)</f>
        <v>0</v>
      </c>
      <c r="BJ54" s="237">
        <f>IF($BH54=$BH$54,$BH$54+$BI$54,"")</f>
        <v>0</v>
      </c>
      <c r="BK54" s="237">
        <f t="shared" ref="BK54:BK78" si="262">IF($BH54=$BH$55,$BH$55+$BI$55,"")</f>
        <v>0</v>
      </c>
      <c r="BL54" s="237">
        <f t="shared" ref="BL54:BL78" si="263">IF($BH54=$BH$56,$BH$56+$BI$56,"")</f>
        <v>0</v>
      </c>
      <c r="BM54" s="237">
        <f t="shared" ref="BM54:BM78" si="264">IF($BH54=$BH$57,$BH$57+$BI$57,"")</f>
        <v>0</v>
      </c>
      <c r="BN54" s="237">
        <f t="shared" ref="BN54:BN78" si="265">IF($BH54=$BH$58,$BH$58+$BI$58,"")</f>
        <v>0</v>
      </c>
      <c r="BO54" s="237">
        <f t="shared" ref="BO54:BO78" si="266">IF($BH54=$BH$59,$BH$59+$BI$59,"")</f>
        <v>0</v>
      </c>
      <c r="BP54" s="237">
        <f t="shared" ref="BP54:BP78" si="267">IF($BH54=$BH$60,$BH$60+$BI$60,"")</f>
        <v>0</v>
      </c>
      <c r="BQ54" s="237">
        <f t="shared" ref="BQ54:BQ78" si="268">IF($BH54=$BH$61,$BH$61+$BI$61,"")</f>
        <v>0</v>
      </c>
      <c r="BR54" s="237">
        <f t="shared" ref="BR54:BR78" si="269">IF($BH54=$BH$62,$BH$62+$BI$62,"")</f>
        <v>0</v>
      </c>
      <c r="BS54" s="237">
        <f t="shared" ref="BS54:BS78" si="270">IF($BH54=$BH$63,$BH$63+$BI$63,"")</f>
        <v>0</v>
      </c>
      <c r="BT54" s="237">
        <f>IF($BH54=$BH$64,$BH$64+$BI$64,"")</f>
        <v>0</v>
      </c>
      <c r="BU54" s="237">
        <f>IF($BH54=$BH$65,$BH$65+$BI$65,"")</f>
        <v>0</v>
      </c>
      <c r="BV54" s="237">
        <f>IF($BH54=$BH$66,$BH$66+$BI$66,"")</f>
        <v>0</v>
      </c>
      <c r="BW54" s="237">
        <f>IF($BH54=$BH$67,$BH$67+$BI$67,"")</f>
        <v>0</v>
      </c>
      <c r="BX54" s="237">
        <f>IF($BH54=$BH$68,$BH$68+$BI$68,"")</f>
        <v>0</v>
      </c>
      <c r="BY54" s="237">
        <f>IF($BH54=$BH$69,$BH$69+$BI$69,"")</f>
        <v>0</v>
      </c>
      <c r="BZ54" s="237">
        <f>IF($BH54=$BH$70,$BH$70+$BI$70,"")</f>
        <v>0</v>
      </c>
      <c r="CA54" s="237">
        <f>IF($BH54=$BH$71,$BH$71+$BI$71,"")</f>
        <v>0</v>
      </c>
      <c r="CB54" s="237">
        <f>IF($BH54=$BH$72,$BH$72+$BI$72,"")</f>
        <v>0</v>
      </c>
      <c r="CC54" s="237">
        <f>IF($BH54=$BH$73,$BH$73+$BI$73,"")</f>
        <v>0</v>
      </c>
      <c r="CD54" s="237">
        <f>IF($BH54=$BH$74,$BH$74+$BI$74,"")</f>
        <v>0</v>
      </c>
      <c r="CE54" s="237">
        <f>IF($BH54=$BH$75,$BH$75+$BI$75,"")</f>
        <v>0</v>
      </c>
      <c r="CF54" s="237">
        <f>IF($BH54=$BH$76,$BH$76+$BI$76,"")</f>
        <v>0</v>
      </c>
      <c r="CG54" s="237">
        <f>IF($BH54=$BH$77,$BH$77+$BI$77,"")</f>
        <v>0</v>
      </c>
      <c r="CH54" s="237">
        <f>IF($BH54=$BH$78,$BH$78+$BI$78,"")</f>
        <v>0</v>
      </c>
      <c r="CI54" s="3"/>
      <c r="CJ54" s="3"/>
      <c r="CK54" s="1"/>
      <c r="CL54" s="1"/>
      <c r="CM54" s="1"/>
      <c r="CN54" s="1"/>
      <c r="CO54" s="1"/>
      <c r="CP54" s="1"/>
      <c r="CQ54" s="1"/>
      <c r="CR54" s="509">
        <f>SUM(CR55:CR79)</f>
        <v>0</v>
      </c>
      <c r="CS54" s="1"/>
      <c r="CT54" s="256" t="s">
        <v>272</v>
      </c>
      <c r="CU54" s="256" t="s">
        <v>271</v>
      </c>
      <c r="CV54" s="256" t="s">
        <v>641</v>
      </c>
      <c r="CW54" s="1"/>
      <c r="CX54" s="1026" t="str">
        <f t="shared" ref="CX54:CX78" si="271">IF(F25&lt;&gt;"",F25,"")</f>
        <v/>
      </c>
      <c r="CY54" s="1026" t="str">
        <f t="shared" ref="CY54:CY78" si="272">IF(G25&lt;&gt;"",G25,"")</f>
        <v/>
      </c>
      <c r="CZ54" s="1473" t="str">
        <f t="shared" ref="CZ54:CZ78" si="273">IF(DA54="","",IF(AND(DA54="srs1",OR(RIGHT(G25,1)="0",RIGHT(G25,1)="1",RIGHT(G25,1)="2",RIGHT(G25,1)="3",RIGHT(G25,1)="4",RIGHT(G25,1)="5",RIGHT(G25,1)="6",RIGHT(G25,1)="7",RIGHT(G25,1)="8",RIGHT(G25,1)="9")),"ss1",""))</f>
        <v/>
      </c>
      <c r="DA54" s="1473" t="str">
        <f t="shared" ref="DA54:DA78" si="274">IF(MAX(DB54:DC54)=0,"",IF(MAX(DB54:DC54)&lt;=$AU$7,"srs1",""))</f>
        <v/>
      </c>
      <c r="DB54" s="1474" t="str">
        <f t="shared" ref="DB54:DB78" si="275">IF(OR(DD54="",DD54="3"),"",VALUE(RIGHT(F25,1)))</f>
        <v/>
      </c>
      <c r="DC54" s="1474" t="str">
        <f t="shared" ref="DC54:DC78" si="276">IF(OR(DE54="",DE54="3"),"",VALUE(RIGHT(G25,1)))</f>
        <v/>
      </c>
      <c r="DD54" s="1473" t="str">
        <f>IF(AND($D25="s",LEN(F25)=2),"2",IF(AND($D25="s",LEN(F25)=3),"3",IF(AND($D25="s",LEN(F25)&gt;3),"","")))</f>
        <v/>
      </c>
      <c r="DE54" s="1473" t="str">
        <f>IF(AND($D25="s",LEN(G25)=2),"2",IF(AND($D25="s",LEN(G25)=3),"3",IF(AND($D25="s",LEN(G25)&gt;3),"","")))</f>
        <v/>
      </c>
      <c r="DF54" s="1476" t="str">
        <f t="shared" ref="DF54:DF78" si="277">B25</f>
        <v/>
      </c>
      <c r="DG54" s="1476" t="str">
        <f t="shared" ref="DG54:DG78" si="278">D25</f>
        <v/>
      </c>
      <c r="DJ54" s="93" t="str">
        <f>IF(OR($AU$7="",DO54=""),"",IF(OR(H25=$AU$6,H25=$P$8),1,""))</f>
        <v/>
      </c>
      <c r="DK54" s="93" t="str">
        <f>IF(OR($AU$7="",DO54=""),"",IF(H25&lt;=$AU$7,1,""))</f>
        <v/>
      </c>
      <c r="DL54" s="93">
        <f>IF(DM54="",0,SUMIF($DS$54:$DS$78,DS54,$DM$54:$DM$78))</f>
        <v>0</v>
      </c>
      <c r="DM54" s="93" t="str">
        <f t="shared" ref="DM54:DM78" si="279">IF(OR(F25="",G25="",H25=0,H25=""),"",1)</f>
        <v/>
      </c>
      <c r="DN54" s="33">
        <v>1</v>
      </c>
      <c r="DO54" s="93" t="str">
        <f t="shared" ref="DO54:DO78" si="280">IF(OR(F25="",G25=""),"",1)</f>
        <v/>
      </c>
      <c r="DP54" s="1"/>
      <c r="DQ54" s="33">
        <v>1</v>
      </c>
      <c r="DR54" s="1486" t="str">
        <f>IF(AND(F25=$EV$53,B25="nc"),DQ54,"")</f>
        <v/>
      </c>
      <c r="DS54" s="144" t="str">
        <f t="shared" ref="DS54:DS78" si="281">FF54</f>
        <v/>
      </c>
      <c r="DT54" s="144" t="str">
        <f t="shared" ref="DT54:DT78" si="282">FG54</f>
        <v/>
      </c>
      <c r="DU54" s="144" t="str">
        <f t="shared" ref="DU54:DU78" si="283">FI54</f>
        <v/>
      </c>
      <c r="DV54" s="144" t="str">
        <f t="shared" ref="DV54:DV78" si="284">FM54</f>
        <v/>
      </c>
      <c r="DW54" s="144" t="str">
        <f t="shared" ref="DW54:DW78" si="285">FQ54</f>
        <v/>
      </c>
      <c r="DX54" s="144" t="str">
        <f t="shared" ref="DX54:DX78" si="286">FU54</f>
        <v/>
      </c>
      <c r="DY54" s="144" t="str">
        <f t="shared" ref="DY54:DY78" si="287">FY54</f>
        <v/>
      </c>
      <c r="DZ54" s="144" t="str">
        <f t="shared" ref="DZ54:DZ78" si="288">GC54</f>
        <v/>
      </c>
      <c r="EA54" s="144" t="str">
        <f t="shared" ref="EA54:EA78" si="289">GG54</f>
        <v/>
      </c>
      <c r="EB54" s="144" t="str">
        <f t="shared" ref="EB54:EB78" si="290">GK54</f>
        <v/>
      </c>
      <c r="EC54" s="144" t="str">
        <f t="shared" ref="EC54:EC78" si="291">GO54</f>
        <v/>
      </c>
      <c r="ED54" s="144" t="str">
        <f t="shared" ref="ED54:ED78" si="292">GS54</f>
        <v/>
      </c>
      <c r="EE54" s="144" t="str">
        <f t="shared" ref="EE54:EE78" si="293">GW54</f>
        <v/>
      </c>
      <c r="EF54" s="144" t="str">
        <f t="shared" ref="EF54:EF78" si="294">HA54</f>
        <v/>
      </c>
      <c r="EG54" s="144" t="str">
        <f t="shared" ref="EG54:EG78" si="295">HE54</f>
        <v/>
      </c>
      <c r="EH54" s="144" t="str">
        <f t="shared" ref="EH54:EH78" si="296">HI54</f>
        <v/>
      </c>
      <c r="EI54" s="144" t="str">
        <f t="shared" ref="EI54:EI78" si="297">HM54</f>
        <v/>
      </c>
      <c r="EJ54" s="144" t="str">
        <f t="shared" ref="EJ54:EJ78" si="298">HQ54</f>
        <v/>
      </c>
      <c r="EK54" s="144" t="str">
        <f t="shared" ref="EK54:EK78" si="299">HU54</f>
        <v/>
      </c>
      <c r="EL54" s="144" t="str">
        <f t="shared" ref="EL54:EL78" si="300">HY54</f>
        <v/>
      </c>
      <c r="EM54" s="144" t="str">
        <f t="shared" ref="EM54:EM78" si="301">IC54</f>
        <v/>
      </c>
      <c r="EN54" s="720" t="str">
        <f t="shared" ref="EN54:EN78" si="302">IG54</f>
        <v/>
      </c>
      <c r="EO54" s="720" t="str">
        <f t="shared" ref="EO54:EO78" si="303">IK54</f>
        <v/>
      </c>
      <c r="EP54" s="720" t="str">
        <f t="shared" ref="EP54:EP78" si="304">IO54</f>
        <v/>
      </c>
      <c r="EQ54" s="720" t="str">
        <f t="shared" ref="EQ54:EQ78" si="305">IS54</f>
        <v/>
      </c>
      <c r="ER54" s="720" t="str">
        <f t="shared" ref="ER54:ER78" si="306">IW54</f>
        <v/>
      </c>
      <c r="ES54" s="1460">
        <f>IF(OR(D25="s",H25&lt;=$AU$7),0,IF(AND($EV$53&lt;&gt;"",D25&lt;&gt;"s",H25&gt;=$AU$6,B25="c"),ET54*$ES$53,IF(AND(Q25&lt;&gt;"",$EV$53&lt;&gt;"",D25&lt;&gt;"s",H25&gt;=$AU$7,OR(B25="nc",B25="nc1")),$ES$53-Q25,0)))</f>
        <v>0</v>
      </c>
      <c r="ET54" s="201">
        <f>COUNTIF(DS54:ER54,$EV$53)</f>
        <v>26</v>
      </c>
      <c r="EU54" s="137" t="str">
        <f>IF(OR(EV54="",$EW$52=0),"",IF(EW54=$EW$52,1,""))</f>
        <v/>
      </c>
      <c r="EV54" s="290" t="str">
        <f t="shared" ref="EV54:EV78" si="307">IF(EW54="","",IF(AND(OR(EW54&gt;=$AU$7,EW54=$AU$6),COUNTIF($DS$54:$DS$78,DS54)&gt;1,DT54&lt;&gt;""),DS54,""))</f>
        <v/>
      </c>
      <c r="EW54" s="290" t="str">
        <f t="shared" ref="EW54:EW78" si="308">IF(OR(DM54="",DL54&lt;2),"",IF(AND(OR(H25&gt;=$AU$7,H25&gt;=$AU$6),COUNTIF($DS$54:$DS$78,DS54)&gt;1),H25,""))</f>
        <v/>
      </c>
      <c r="EX54" s="725" t="str">
        <f t="shared" ref="EX54:EX78" si="309">IF(OR(FF54="",FG54=""),"",IF(H25&gt;=1,EY54+ES54+FD54,""))</f>
        <v/>
      </c>
      <c r="EY54" s="1322">
        <f t="shared" ref="EY54:EY78" si="310">EZ54*$EY$53</f>
        <v>0</v>
      </c>
      <c r="EZ54" s="201">
        <f>COUNTIF(DT54:ER54,$FB$53)</f>
        <v>25</v>
      </c>
      <c r="FA54" s="1467" t="str">
        <f>IF(DS54="","",COUNTIF($DS$54:$DS$78,DS54))</f>
        <v/>
      </c>
      <c r="FB54" s="216" t="str">
        <f>IF(AND(FA54&gt;1,OR(DP25&gt;=1,A25="ss1"),H25&gt;0,DT54&lt;&gt;""),DS54,"")</f>
        <v/>
      </c>
      <c r="FC54" s="795" t="str" cm="1">
        <f t="array" ref="FC54">IF($FB54="","",INDEX($H$25:$H$49,$DN25))</f>
        <v/>
      </c>
      <c r="FD54" s="234" t="str">
        <f>IF(OR(FF54="",FG54=""),"",IF(AND(Q25&lt;&gt;"",$EV$53&lt;&gt;"",D25&lt;&gt;"s",H25&gt;=$AU$7,B25="nc"),Q25,FE54+FK54+FO54+FS54+FW54+GA54+GE54+GI54+GM54+GQ54+GU54+GY54+HC54+HG54+HK54+HO54+HS54+HW54+IA54+IE54+II54+IM54+IQ54+IU54+IY54))</f>
        <v/>
      </c>
      <c r="FE54" s="90">
        <f t="shared" ref="FE54:FE78" si="311">IF(OR($Q25="",FG54=""),0,$Q25)</f>
        <v>0</v>
      </c>
      <c r="FF54" s="711" t="str">
        <f>IF(FF25=0,"",FF25)</f>
        <v/>
      </c>
      <c r="FG54" s="712" t="str">
        <f>IF(FG25=0,"",FG25)</f>
        <v/>
      </c>
      <c r="FH54" s="701" t="str">
        <f>IF(OR(FG54=0,COUNTIF($FF$54:$FF$78,FG54)=0),"",IF(FG54=$EV$53,$BA$23,MATCH(FG54,$FF$54:$FF$78,0)))</f>
        <v/>
      </c>
      <c r="FI54" s="704" t="str">
        <f t="shared" ref="FI54:FI78" si="312">IF(FH54="","",LOOKUP(FH54,$DN$25:$DN$49,$FG$54:$FG$78))</f>
        <v/>
      </c>
      <c r="FJ54" s="701">
        <f t="shared" ref="FJ54:FJ78" si="313">IF(OR(FI54=0,COUNTIF($FG$54:$FG$78,FI54)=0),"",MATCH(FI54,$FG$54:$FG$78,0))</f>
        <v>1</v>
      </c>
      <c r="FK54" s="128">
        <f>IF(FJ54="",0,LOOKUP(FJ54,$DN$25:$DN$49,$FE$54:$FE$78))</f>
        <v>0</v>
      </c>
      <c r="FL54" s="701" t="str">
        <f>IF(OR(FI54=0,COUNTIF($FF$54:$FF$78,FI54)=0),"",IF(FI54=$EV$53,$BA$23,MATCH(FI54,$FF$54:$FF$78,0)))</f>
        <v/>
      </c>
      <c r="FM54" s="704" t="str">
        <f t="shared" ref="FM54:FM78" si="314">IF(FL54="","",LOOKUP(FL54,$DN$25:$DN$49,$FG$54:$FG$78))</f>
        <v/>
      </c>
      <c r="FN54" s="701">
        <f t="shared" ref="FN54:FN78" si="315">IF(OR(FM54=0,COUNTIF($FG$54:$FG$78,FM54)=0),"",MATCH(FM54,$FG$54:$FG$78,0))</f>
        <v>1</v>
      </c>
      <c r="FO54" s="128">
        <f t="shared" ref="FO54:FO78" si="316">IF(FN54="",0,LOOKUP(FN54,$DN$25:$DN$49,$FE$54:$FE$78))</f>
        <v>0</v>
      </c>
      <c r="FP54" s="701" t="str">
        <f>IF(OR(FM54=0,COUNTIF($FF$54:$FF$78,FM54)=0),"",IF(FM54=$EV$53,$BA$23,MATCH(FM54,$FF$54:$FF$78,0)))</f>
        <v/>
      </c>
      <c r="FQ54" s="704" t="str">
        <f t="shared" ref="FQ54:FQ78" si="317">IF(FP54="","",LOOKUP(FP54,$DN$25:$DN$49,$FG$54:$FG$78))</f>
        <v/>
      </c>
      <c r="FR54" s="701">
        <f>IF(OR(FQ54=0,COUNTIF($FG$54:$FG$78,FQ54)=0),"",MATCH(FQ54,$FG$54:$FG$78,0))</f>
        <v>1</v>
      </c>
      <c r="FS54" s="128">
        <f t="shared" ref="FS54:FS78" si="318">IF(FR54="",0,LOOKUP(FR54,$DN$25:$DN$49,$FE$54:$FE$78))</f>
        <v>0</v>
      </c>
      <c r="FT54" s="701" t="str">
        <f>IF(OR(FQ54=0,COUNTIF($FF$54:$FF$78,FQ54)=0),"",IF(FQ54=$EV$53,$BA$23,MATCH(FQ54,$FF$54:$FF$78,0)))</f>
        <v/>
      </c>
      <c r="FU54" s="704" t="str">
        <f t="shared" ref="FU54:FU78" si="319">IF(FT54="","",LOOKUP(FT54,$DN$25:$DN$49,$FG$54:$FG$78))</f>
        <v/>
      </c>
      <c r="FV54" s="701">
        <f>IF(OR(FU54=0,COUNTIF($FG$54:$FG$78,FU54)=0),"",MATCH(FU54,$FG$54:$FG$78,0))</f>
        <v>1</v>
      </c>
      <c r="FW54" s="128">
        <f t="shared" ref="FW54:FW78" si="320">IF(FV54="",0,LOOKUP(FV54,$DN$25:$DN$49,$FE$54:$FE$78))</f>
        <v>0</v>
      </c>
      <c r="FX54" s="701" t="str">
        <f>IF(OR(FU54=0,COUNTIF($FF$54:$FF$78,FU54)=0),"",IF(FU54=$EV$53,$BA$23,MATCH(FU54,$FF$54:$FF$78,0)))</f>
        <v/>
      </c>
      <c r="FY54" s="704" t="str">
        <f t="shared" ref="FY54:FY78" si="321">IF(FX54="","",LOOKUP(FX54,$DN$25:$DN$49,$FG$54:$FG$78))</f>
        <v/>
      </c>
      <c r="FZ54" s="701">
        <f>IF(OR(FY54=0,COUNTIF($FG$54:$FG$78,FY54)=0),"",MATCH(FY54,$FG$54:$FG$78,0))</f>
        <v>1</v>
      </c>
      <c r="GA54" s="128">
        <f t="shared" ref="GA54:GA78" si="322">IF(FZ54="",0,LOOKUP(FZ54,$DN$25:$DN$49,$FE$54:$FE$78))</f>
        <v>0</v>
      </c>
      <c r="GB54" s="701" t="str">
        <f>IF(OR(FY54=0,COUNTIF($FF$54:$FF$78,FY54)=0),"",IF(FY54=$EV$53,$BA$23,MATCH(FY54,$FF$54:$FF$78,0)))</f>
        <v/>
      </c>
      <c r="GC54" s="704" t="str">
        <f t="shared" ref="GC54:GC78" si="323">IF(GB54="","",LOOKUP(GB54,$DN$25:$DN$49,$FG$54:$FG$78))</f>
        <v/>
      </c>
      <c r="GD54" s="701">
        <f>IF(OR(GC54=0,COUNTIF($FG$54:$FG$78,GC54)=0),"",MATCH(GC54,$FG$54:$FG$78,0))</f>
        <v>1</v>
      </c>
      <c r="GE54" s="128">
        <f t="shared" ref="GE54:GE78" si="324">IF(GD54="",0,LOOKUP(GD54,$DN$25:$DN$49,$FE$54:$FE$78))</f>
        <v>0</v>
      </c>
      <c r="GF54" s="701" t="str">
        <f>IF(OR(GC54=0,COUNTIF($FF$54:$FF$78,GC54)=0),"",IF(GC54=$EV$53,$BA$23,MATCH(GC54,$FF$54:$FF$78,0)))</f>
        <v/>
      </c>
      <c r="GG54" s="704" t="str">
        <f t="shared" ref="GG54:GG78" si="325">IF(GF54="","",LOOKUP(GF54,$DN$25:$DN$49,$FG$54:$FG$78))</f>
        <v/>
      </c>
      <c r="GH54" s="701">
        <f t="shared" ref="GH54:GH78" si="326">IF(OR(GG54=0,COUNTIF($FG$54:$FG$78,GG54)=0),"",MATCH(GG54,$FG$54:$FG$78,0))</f>
        <v>1</v>
      </c>
      <c r="GI54" s="128">
        <f t="shared" ref="GI54:GI78" si="327">IF(GH54="",0,LOOKUP(GH54,$DN$25:$DN$49,$FE$54:$FE$78))</f>
        <v>0</v>
      </c>
      <c r="GJ54" s="701" t="str">
        <f>IF(OR(GG54=0,COUNTIF($FF$54:$FF$78,GG54)=0),"",IF(GG54=$EV$53,$BA$23,MATCH(GG54,$FF$54:$FF$78,0)))</f>
        <v/>
      </c>
      <c r="GK54" s="704" t="str">
        <f t="shared" ref="GK54:GK78" si="328">IF(GJ54="","",LOOKUP(GJ54,$DN$25:$DN$49,$FG$54:$FG$78))</f>
        <v/>
      </c>
      <c r="GL54" s="701">
        <f t="shared" ref="GL54:GL78" si="329">IF(OR(GK54=0,COUNTIF($FG$54:$FG$78,GK54)=0),"",MATCH(GK54,$FG$54:$FG$78,0))</f>
        <v>1</v>
      </c>
      <c r="GM54" s="128">
        <f t="shared" ref="GM54:GM78" si="330">IF(GL54="",0,LOOKUP(GL54,$DN$25:$DN$49,$FE$54:$FE$78))</f>
        <v>0</v>
      </c>
      <c r="GN54" s="701" t="str">
        <f>IF(OR(GK54=0,COUNTIF($FF$54:$FF$78,GK54)=0),"",IF(GK54=$EV$53,$BA$23,MATCH(GK54,$FF$54:$FF$78,0)))</f>
        <v/>
      </c>
      <c r="GO54" s="704" t="str">
        <f t="shared" ref="GO54:GO78" si="331">IF(GN54="","",LOOKUP(GN54,$DN$25:$DN$49,$FG$54:$FG$78))</f>
        <v/>
      </c>
      <c r="GP54" s="701">
        <f t="shared" ref="GP54:GP78" si="332">IF(OR(GO54=0,COUNTIF($FG$54:$FG$78,GO54)=0),"",MATCH(GO54,$FG$54:$FG$78,0))</f>
        <v>1</v>
      </c>
      <c r="GQ54" s="128">
        <f t="shared" ref="GQ54:GQ78" si="333">IF(GP54="",0,LOOKUP(GP54,$DN$25:$DN$49,$FE$54:$FE$78))</f>
        <v>0</v>
      </c>
      <c r="GR54" s="701" t="str">
        <f>IF(OR(GO54=0,COUNTIF($FF$54:$FF$78,GO54)=0),"",IF(GO54=$EV$53,$BA$23,MATCH(GO54,$FF$54:$FF$78,0)))</f>
        <v/>
      </c>
      <c r="GS54" s="704" t="str">
        <f t="shared" ref="GS54:GS78" si="334">IF(GR54="","",LOOKUP(GR54,$DN$25:$DN$49,$FG$54:$FG$78))</f>
        <v/>
      </c>
      <c r="GT54" s="701">
        <f t="shared" ref="GT54:GT78" si="335">IF(OR(GS54=0,COUNTIF($FG$54:$FG$78,GS54)=0),"",MATCH(GS54,$FG$54:$FG$78,0))</f>
        <v>1</v>
      </c>
      <c r="GU54" s="128">
        <f t="shared" ref="GU54:GU78" si="336">IF(GT54="",0,LOOKUP(GT54,$DN$25:$DN$49,$FE$54:$FE$78))</f>
        <v>0</v>
      </c>
      <c r="GV54" s="701" t="str">
        <f>IF(OR(GS54=0,COUNTIF($FF$54:$FF$78,GS54)=0),"",IF(GS54=$EV$53,$BA$23,MATCH(GS54,$FF$54:$FF$78,0)))</f>
        <v/>
      </c>
      <c r="GW54" s="704" t="str">
        <f t="shared" ref="GW54:GW78" si="337">IF(GV54="","",LOOKUP(GV54,$DN$25:$DN$49,$FG$54:$FG$78))</f>
        <v/>
      </c>
      <c r="GX54" s="701">
        <f t="shared" ref="GX54:GX78" si="338">IF(OR(GW54=0,COUNTIF($FG$54:$FG$78,GW54)=0),"",MATCH(GW54,$FG$54:$FG$78,0))</f>
        <v>1</v>
      </c>
      <c r="GY54" s="128">
        <f t="shared" ref="GY54:GY78" si="339">IF(GX54="",0,LOOKUP(GX54,$DN$25:$DN$49,$FE$54:$FE$78))</f>
        <v>0</v>
      </c>
      <c r="GZ54" s="701" t="str">
        <f>IF(OR(GW54=0,COUNTIF($FF$54:$FF$78,GW54)=0),"",IF(GW54=$EV$53,$BA$23,MATCH(GW54,$FF$54:$FF$78,0)))</f>
        <v/>
      </c>
      <c r="HA54" s="704" t="str">
        <f t="shared" ref="HA54:HA78" si="340">IF(GZ54="","",LOOKUP(GZ54,$DN$25:$DN$49,$FG$54:$FG$78))</f>
        <v/>
      </c>
      <c r="HB54" s="701">
        <f t="shared" ref="HB54:HB78" si="341">IF(OR(HA54=0,COUNTIF($FG$54:$FG$78,HA54)=0),"",MATCH(HA54,$FG$54:$FG$78,0))</f>
        <v>1</v>
      </c>
      <c r="HC54" s="128">
        <f t="shared" ref="HC54:HC78" si="342">IF(HB54="",0,LOOKUP(HB54,$DN$25:$DN$49,$FE$54:$FE$78))</f>
        <v>0</v>
      </c>
      <c r="HD54" s="701" t="str">
        <f>IF(OR(HA54=0,COUNTIF($FF$54:$FF$78,HA54)=0),"",IF(HA54=$EV$53,$BA$23,MATCH(HA54,$FF$54:$FF$78,0)))</f>
        <v/>
      </c>
      <c r="HE54" s="704" t="str">
        <f t="shared" ref="HE54:HE78" si="343">IF(HD54="","",LOOKUP(HD54,$DN$25:$DN$49,$FG$54:$FG$78))</f>
        <v/>
      </c>
      <c r="HF54" s="701">
        <f t="shared" ref="HF54:HF78" si="344">IF(OR(HE54=0,COUNTIF($FG$54:$FG$78,HE54)=0),"",MATCH(HE54,$FG$54:$FG$78,0))</f>
        <v>1</v>
      </c>
      <c r="HG54" s="128">
        <f t="shared" ref="HG54:HG78" si="345">IF(HF54="",0,LOOKUP(HF54,$DN$25:$DN$49,$FE$54:$FE$78))</f>
        <v>0</v>
      </c>
      <c r="HH54" s="701" t="str">
        <f>IF(OR(HE54=0,COUNTIF($FF$54:$FF$78,HE54)=0),"",IF(HE54=$EV$53,$BA$23,MATCH(HE54,$FF$54:$FF$78,0)))</f>
        <v/>
      </c>
      <c r="HI54" s="704" t="str">
        <f t="shared" ref="HI54:HI78" si="346">IF(HH54="","",LOOKUP(HH54,$DN$25:$DN$49,$FG$54:$FG$78))</f>
        <v/>
      </c>
      <c r="HJ54" s="701">
        <f t="shared" ref="HJ54:HJ78" si="347">IF(OR(HI54=0,COUNTIF($FG$54:$FG$78,HI54)=0),"",MATCH(HI54,$FG$54:$FG$78,0))</f>
        <v>1</v>
      </c>
      <c r="HK54" s="128">
        <f t="shared" ref="HK54:HK78" si="348">IF(HJ54="",0,LOOKUP(HJ54,$DN$25:$DN$49,$FE$54:$FE$78))</f>
        <v>0</v>
      </c>
      <c r="HL54" s="701" t="str">
        <f>IF(OR(HI54=0,COUNTIF($FF$54:$FF$78,HI54)=0),"",IF(HI54=$EV$53,$BA$23,MATCH(HI54,$FF$54:$FF$78,0)))</f>
        <v/>
      </c>
      <c r="HM54" s="704" t="str">
        <f t="shared" ref="HM54:HM78" si="349">IF(HL54="","",LOOKUP(HL54,$DN$25:$DN$49,$FG$54:$FG$78))</f>
        <v/>
      </c>
      <c r="HN54" s="701">
        <f t="shared" ref="HN54:HN78" si="350">IF(OR(HM54=0,COUNTIF($FG$54:$FG$78,HM54)=0),"",MATCH(HM54,$FG$54:$FG$78,0))</f>
        <v>1</v>
      </c>
      <c r="HO54" s="128">
        <f t="shared" ref="HO54:HO78" si="351">IF(HN54="",0,LOOKUP(HN54,$DN$25:$DN$49,$FE$54:$FE$78))</f>
        <v>0</v>
      </c>
      <c r="HP54" s="701" t="str">
        <f>IF(OR(HM54=0,COUNTIF($FF$54:$FF$78,HM54)=0),"",IF(HM54=$EV$53,$BA$23,MATCH(HM54,$FF$54:$FF$78,0)))</f>
        <v/>
      </c>
      <c r="HQ54" s="704" t="str">
        <f t="shared" ref="HQ54:HQ78" si="352">IF(HP54="","",LOOKUP(HP54,$DN$25:$DN$49,$FG$54:$FG$78))</f>
        <v/>
      </c>
      <c r="HR54" s="701">
        <f t="shared" ref="HR54:HR78" si="353">IF(OR(HQ54=0,COUNTIF($FG$54:$FG$78,HQ54)=0),"",MATCH(HQ54,$FG$54:$FG$78,0))</f>
        <v>1</v>
      </c>
      <c r="HS54" s="128">
        <f t="shared" ref="HS54:HS78" si="354">IF(HR54="",0,LOOKUP(HR54,$DN$25:$DN$49,$FE$54:$FE$78))</f>
        <v>0</v>
      </c>
      <c r="HT54" s="701" t="str">
        <f>IF(OR(HQ54=0,COUNTIF($FF$54:$FF$78,HQ54)=0),"",IF(HQ54=$EV$53,$BA$23,MATCH(HQ54,$FF$54:$FF$78,0)))</f>
        <v/>
      </c>
      <c r="HU54" s="704" t="str">
        <f t="shared" ref="HU54:HU78" si="355">IF(HT54="","",LOOKUP(HT54,$DN$25:$DN$49,$FG$54:$FG$78))</f>
        <v/>
      </c>
      <c r="HV54" s="701">
        <f t="shared" ref="HV54:HV78" si="356">IF(OR(HU54=0,COUNTIF($FG$54:$FG$78,HU54)=0),"",MATCH(HU54,$FG$54:$FG$78,0))</f>
        <v>1</v>
      </c>
      <c r="HW54" s="128">
        <f t="shared" ref="HW54:HW78" si="357">IF(HV54="",0,LOOKUP(HV54,$DN$25:$DN$49,$FE$54:$FE$78))</f>
        <v>0</v>
      </c>
      <c r="HX54" s="701" t="str">
        <f>IF(OR(HU54=0,COUNTIF($FF$54:$FF$78,HU54)=0),"",IF(HU54=$EV$53,$BA$23,MATCH(HU54,$FF$54:$FF$78,0)))</f>
        <v/>
      </c>
      <c r="HY54" s="704" t="str">
        <f t="shared" ref="HY54:HY78" si="358">IF(HX54="","",LOOKUP(HX54,$DN$25:$DN$49,$FG$54:$FG$78))</f>
        <v/>
      </c>
      <c r="HZ54" s="701">
        <f t="shared" ref="HZ54:HZ78" si="359">IF(OR(HY54=0,COUNTIF($FG$54:$FG$78,HY54)=0),"",MATCH(HY54,$FG$54:$FG$78,0))</f>
        <v>1</v>
      </c>
      <c r="IA54" s="128">
        <f t="shared" ref="IA54:IA78" si="360">IF(HZ54="",0,LOOKUP(HZ54,$DN$25:$DN$49,$FE$54:$FE$78))</f>
        <v>0</v>
      </c>
      <c r="IB54" s="701" t="str">
        <f>IF(OR(HY54=0,COUNTIF($FF$54:$FF$78,HY54)=0),"",IF(HY54=$EV$53,$BA$23,MATCH(HY54,$FF$54:$FF$78,0)))</f>
        <v/>
      </c>
      <c r="IC54" s="704" t="str">
        <f t="shared" ref="IC54:IC78" si="361">IF(IB54="","",LOOKUP(IB54,$DN$25:$DN$49,$FG$54:$FG$78))</f>
        <v/>
      </c>
      <c r="ID54" s="701">
        <f t="shared" ref="ID54:ID78" si="362">IF(OR(IC54=0,COUNTIF($FG$54:$FG$78,IC54)=0),"",MATCH(IC54,$FG$54:$FG$78,0))</f>
        <v>1</v>
      </c>
      <c r="IE54" s="128">
        <f t="shared" ref="IE54:IE78" si="363">IF(ID54="",0,LOOKUP(ID54,$DN$25:$DN$49,$FE$54:$FE$78))</f>
        <v>0</v>
      </c>
      <c r="IF54" s="701" t="str">
        <f>IF(OR(IC54=0,COUNTIF($FF$54:$FF$78,IC54)=0),"",IF(IC54=$EV$53,$BA$23,MATCH(IC54,$FF$54:$FF$78,0)))</f>
        <v/>
      </c>
      <c r="IG54" s="704" t="str">
        <f t="shared" ref="IG54:IG78" si="364">IF(IF54="","",LOOKUP(IF54,$DN$25:$DN$49,$FG$54:$FG$78))</f>
        <v/>
      </c>
      <c r="IH54" s="701">
        <f t="shared" ref="IH54:IH78" si="365">IF(OR(IG54=0,COUNTIF($FG$54:$FG$78,IG54)=0),"",MATCH(IG54,$FG$54:$FG$78,0))</f>
        <v>1</v>
      </c>
      <c r="II54" s="128">
        <f t="shared" ref="II54:II78" si="366">IF(IH54="",0,LOOKUP(IH54,$DN$25:$DN$49,$FE$54:$FE$78))</f>
        <v>0</v>
      </c>
      <c r="IJ54" s="701" t="str">
        <f>IF(OR(IG54=0,COUNTIF($FF$54:$FF$78,IG54)=0),"",IF(IG54=$EV$53,$BA$23,MATCH(IG54,$FF$54:$FF$78,0)))</f>
        <v/>
      </c>
      <c r="IK54" s="704" t="str">
        <f t="shared" ref="IK54:IK78" si="367">IF(IJ54="","",LOOKUP(IJ54,$DN$25:$DN$49,$FG$54:$FG$78))</f>
        <v/>
      </c>
      <c r="IL54" s="701">
        <f t="shared" ref="IL54:IL78" si="368">IF(OR(IK54=0,COUNTIF($FG$54:$FG$78,IK54)=0),"",MATCH(IK54,$FG$54:$FG$78,0))</f>
        <v>1</v>
      </c>
      <c r="IM54" s="128">
        <f t="shared" ref="IM54:IM78" si="369">IF(IL54="",0,LOOKUP(IL54,$DN$25:$DN$49,$FE$54:$FE$78))</f>
        <v>0</v>
      </c>
      <c r="IN54" s="701" t="str">
        <f>IF(OR(IK54=0,COUNTIF($FF$54:$FF$78,IK54)=0),"",IF(IK54=$EV$53,$BA$23,MATCH(IK54,$FF$54:$FF$78,0)))</f>
        <v/>
      </c>
      <c r="IO54" s="704" t="str">
        <f t="shared" ref="IO54:IO78" si="370">IF(IN54="","",LOOKUP(IN54,$DN$25:$DN$49,$FG$54:$FG$78))</f>
        <v/>
      </c>
      <c r="IP54" s="701">
        <f t="shared" ref="IP54:IP78" si="371">IF(OR(IO54=0,COUNTIF($FG$54:$FG$78,IO54)=0),"",MATCH(IO54,$FG$54:$FG$78,0))</f>
        <v>1</v>
      </c>
      <c r="IQ54" s="128">
        <f t="shared" ref="IQ54:IQ78" si="372">IF(IP54="",0,LOOKUP(IP54,$DN$25:$DN$49,$FE$54:$FE$78))</f>
        <v>0</v>
      </c>
      <c r="IR54" s="701" t="str">
        <f>IF(OR(IO54=0,COUNTIF($FF$54:$FF$78,IO54)=0),"",IF(IO54=$EV$53,$BA$23,MATCH(IO54,$FF$54:$FF$78,0)))</f>
        <v/>
      </c>
      <c r="IS54" s="704" t="str">
        <f t="shared" ref="IS54:IS78" si="373">IF(IR54="","",LOOKUP(IR54,$DN$25:$DN$49,$FG$54:$FG$78))</f>
        <v/>
      </c>
      <c r="IT54" s="701">
        <f t="shared" ref="IT54:IT78" si="374">IF(OR(IS54=0,COUNTIF($FG$54:$FG$78,IS54)=0),"",MATCH(IS54,$FG$54:$FG$78,0))</f>
        <v>1</v>
      </c>
      <c r="IU54" s="128">
        <f t="shared" ref="IU54:IU78" si="375">IF(IT54="",0,LOOKUP(IT54,$DN$25:$DN$49,$FE$54:$FE$78))</f>
        <v>0</v>
      </c>
      <c r="IV54" s="701" t="str">
        <f>IF(OR(IS54=0,COUNTIF($FF$54:$FF$78,IS54)=0),"",IF(IS54=$EV$53,$BA$23,MATCH(IS54,$FF$54:$FF$78,0)))</f>
        <v/>
      </c>
      <c r="IW54" s="704" t="str">
        <f t="shared" ref="IW54:IW78" si="376">IF(IV54="","",LOOKUP(IV54,$DN$25:$DN$49,$FG$54:$FG$78))</f>
        <v/>
      </c>
      <c r="IX54" s="701">
        <f t="shared" ref="IX54:IX78" si="377">IF(OR(IW54=0,COUNTIF($FG$54:$FG$78,IW54)=0),"",MATCH(IW54,$FG$54:$FG$78,0))</f>
        <v>1</v>
      </c>
      <c r="IY54" s="128">
        <f t="shared" ref="IY54:IY78" si="378">IF(IX54="",0,LOOKUP(IX54,$DN$25:$DN$49,$FE$54:$FE$78))</f>
        <v>0</v>
      </c>
    </row>
    <row r="55" spans="1:259" s="2" customFormat="1" ht="14.25" customHeight="1" thickTop="1" thickBot="1" x14ac:dyDescent="0.35">
      <c r="D55" s="50"/>
      <c r="E55" s="1"/>
      <c r="G55" s="1"/>
      <c r="H55" s="1"/>
      <c r="I55" s="684" t="str">
        <f t="shared" si="243"/>
        <v/>
      </c>
      <c r="J55" s="685" t="str">
        <f t="shared" si="244"/>
        <v/>
      </c>
      <c r="K55" s="768" t="str">
        <f t="shared" si="248"/>
        <v/>
      </c>
      <c r="L55" s="33"/>
      <c r="M55" s="33"/>
      <c r="P55" s="684" t="str">
        <f t="shared" si="245"/>
        <v/>
      </c>
      <c r="Q55" s="685" t="str">
        <f t="shared" si="246"/>
        <v/>
      </c>
      <c r="R55" s="768" t="str">
        <f t="shared" si="247"/>
        <v/>
      </c>
      <c r="S55" s="33"/>
      <c r="T55" s="804"/>
      <c r="U55" s="804"/>
      <c r="V55" s="769"/>
      <c r="W55" s="1"/>
      <c r="X55" s="1"/>
      <c r="Y55" s="1"/>
      <c r="Z55" s="25"/>
      <c r="AA55" s="25"/>
      <c r="AB55" s="25"/>
      <c r="AC55" s="695"/>
      <c r="AE55" s="695"/>
      <c r="AF55" s="695"/>
      <c r="AG55" s="768"/>
      <c r="AH55" s="695"/>
      <c r="AI55" s="695"/>
      <c r="AJ55" s="695"/>
      <c r="AK55" s="695"/>
      <c r="AL55" s="695"/>
      <c r="AM55" s="695"/>
      <c r="AN55" s="695"/>
      <c r="AO55" s="695"/>
      <c r="AP55" s="695"/>
      <c r="AQ55" s="681"/>
      <c r="AR55" s="471"/>
      <c r="AT55" s="87" t="str">
        <f>IF($F26="","",IF($F26=$F$25,$AW$25,IF($F26=$F$27,$AW$27,IF($F26=$F$28,$AW$28,IF($F26=$F$29,$AW$29,IF($F26=$F$30,$AW$30,IF($F26=$F$31,$AW$31,"")))))))</f>
        <v/>
      </c>
      <c r="AU55" s="78" t="str">
        <f t="shared" si="249"/>
        <v/>
      </c>
      <c r="AV55" s="78" t="str">
        <f t="shared" si="250"/>
        <v/>
      </c>
      <c r="AW55" s="78" t="str">
        <f t="shared" si="251"/>
        <v/>
      </c>
      <c r="AX55" s="239">
        <f t="shared" si="252"/>
        <v>0</v>
      </c>
      <c r="AY55" s="239" t="str">
        <f t="shared" si="253"/>
        <v/>
      </c>
      <c r="AZ55" s="214" t="str">
        <f t="shared" si="254"/>
        <v/>
      </c>
      <c r="BA55" s="214" t="str">
        <f t="shared" si="255"/>
        <v/>
      </c>
      <c r="BB55" s="214" t="str">
        <f t="shared" si="256"/>
        <v/>
      </c>
      <c r="BC55" s="214" t="str">
        <f t="shared" si="257"/>
        <v/>
      </c>
      <c r="BD55" s="1322">
        <f t="shared" ref="BD55:BD78" si="379">IF(AX55="","",DN55)</f>
        <v>2</v>
      </c>
      <c r="BE55" s="1"/>
      <c r="BF55" s="214" t="str">
        <f t="shared" si="258"/>
        <v/>
      </c>
      <c r="BG55" s="94">
        <f t="shared" si="259"/>
        <v>0</v>
      </c>
      <c r="BH55" s="94">
        <f t="shared" si="260"/>
        <v>0</v>
      </c>
      <c r="BI55" s="94">
        <f t="shared" si="261"/>
        <v>0</v>
      </c>
      <c r="BJ55" s="237">
        <f t="shared" ref="BJ55:BJ78" si="380">IF($BH55=$BH$54,$BH$54+$BI$54,"")</f>
        <v>0</v>
      </c>
      <c r="BK55" s="237">
        <f t="shared" si="262"/>
        <v>0</v>
      </c>
      <c r="BL55" s="237">
        <f t="shared" si="263"/>
        <v>0</v>
      </c>
      <c r="BM55" s="237">
        <f t="shared" si="264"/>
        <v>0</v>
      </c>
      <c r="BN55" s="237">
        <f t="shared" si="265"/>
        <v>0</v>
      </c>
      <c r="BO55" s="237">
        <f t="shared" si="266"/>
        <v>0</v>
      </c>
      <c r="BP55" s="237">
        <f t="shared" si="267"/>
        <v>0</v>
      </c>
      <c r="BQ55" s="237">
        <f t="shared" si="268"/>
        <v>0</v>
      </c>
      <c r="BR55" s="237">
        <f t="shared" si="269"/>
        <v>0</v>
      </c>
      <c r="BS55" s="237">
        <f t="shared" si="270"/>
        <v>0</v>
      </c>
      <c r="BT55" s="237">
        <f t="shared" ref="BT55:BT78" si="381">IF($BH55=$BH$64,$BH$64+$BI$64,"")</f>
        <v>0</v>
      </c>
      <c r="BU55" s="237">
        <f t="shared" ref="BU55:BU78" si="382">IF($BH55=$BH$65,$BH$65+$BI$65,"")</f>
        <v>0</v>
      </c>
      <c r="BV55" s="237">
        <f t="shared" ref="BV55:BV78" si="383">IF($BH55=$BH$66,$BH$66+$BI$66,"")</f>
        <v>0</v>
      </c>
      <c r="BW55" s="237">
        <f t="shared" ref="BW55:BW78" si="384">IF($BH55=$BH$67,$BH$67+$BI$67,"")</f>
        <v>0</v>
      </c>
      <c r="BX55" s="237">
        <f t="shared" ref="BX55:BX78" si="385">IF($BH55=$BH$68,$BH$68+$BI$68,"")</f>
        <v>0</v>
      </c>
      <c r="BY55" s="237">
        <f t="shared" ref="BY55:BY78" si="386">IF($BH55=$BH$69,$BH$69+$BI$69,"")</f>
        <v>0</v>
      </c>
      <c r="BZ55" s="237">
        <f t="shared" ref="BZ55:BZ78" si="387">IF($BH55=$BH$70,$BH$70+$BI$70,"")</f>
        <v>0</v>
      </c>
      <c r="CA55" s="237">
        <f t="shared" ref="CA55:CA78" si="388">IF($BH55=$BH$71,$BH$71+$BI$71,"")</f>
        <v>0</v>
      </c>
      <c r="CB55" s="237">
        <f t="shared" ref="CB55:CB78" si="389">IF($BH55=$BH$72,$BH$72+$BI$72,"")</f>
        <v>0</v>
      </c>
      <c r="CC55" s="237">
        <f t="shared" ref="CC55:CC78" si="390">IF($BH55=$BH$73,$BH$73+$BI$73,"")</f>
        <v>0</v>
      </c>
      <c r="CD55" s="237">
        <f t="shared" ref="CD55:CD78" si="391">IF($BH55=$BH$74,$BH$74+$BI$74,"")</f>
        <v>0</v>
      </c>
      <c r="CE55" s="237">
        <f t="shared" ref="CE55:CE78" si="392">IF($BH55=$BH$75,$BH$75+$BI$75,"")</f>
        <v>0</v>
      </c>
      <c r="CF55" s="237">
        <f t="shared" ref="CF55:CF78" si="393">IF($BH55=$BH$76,$BH$76+$BI$76,"")</f>
        <v>0</v>
      </c>
      <c r="CG55" s="237">
        <f t="shared" ref="CG55:CG78" si="394">IF($BH55=$BH$77,$BH$77+$BI$77,"")</f>
        <v>0</v>
      </c>
      <c r="CH55" s="237">
        <f t="shared" ref="CH55:CH78" si="395">IF($BH55=$BH$78,$BH$78+$BI$78,"")</f>
        <v>0</v>
      </c>
      <c r="CI55" s="3"/>
      <c r="CJ55" s="3"/>
      <c r="CK55" s="1"/>
      <c r="CL55" s="1"/>
      <c r="CM55" s="1"/>
      <c r="CN55" s="1"/>
      <c r="CO55" s="1"/>
      <c r="CP55" s="1"/>
      <c r="CQ55" s="1"/>
      <c r="CR55" s="524">
        <f t="shared" ref="CR55:CR79" si="396">IF(OR(AJ25="",AJ25="Conforme",AJ25="Não aplicável"),0,1)</f>
        <v>0</v>
      </c>
      <c r="CT55" s="495" t="str">
        <f t="shared" ref="CT55:CT79" si="397">IF(OR($A$5&lt;&gt;11,$E25=""),"",IF($CS25&lt;=3,27.3,IF($CS25&lt;=4,36,IF($CS25&lt;=5,41.9,IF($CS25&lt;=10,53.1,IF($CS25&lt;=30,68.9,IF($CS25&lt;=60,80.9,IF($CS25&lt;=100,105.3,129.7))))))))</f>
        <v/>
      </c>
      <c r="CU55" s="496" t="str">
        <f t="shared" ref="CU55:CU79" si="398">IF(OR(AND($A$5&lt;&gt;12,$A$5&lt;&gt;13,$A$5&lt;&gt;14,$A$5&lt;&gt;15),$E25=""),"",IF($CS25&lt;=2,27.3,IF($CS25&lt;=3,36,IF($CS25&lt;=4,41.9,IF($CS25&lt;=9,53.1,IF($CS25&lt;=18,68.9,IF($CS25&lt;=40,80.9,IF($CS25&lt;=100,105.3,129.7))))))))</f>
        <v/>
      </c>
      <c r="CV55" s="496" t="str">
        <f t="shared" ref="CV55:CV79" si="399">IF(OR(AND($A$5&lt;&gt;16,$A$5&lt;&gt;17,$A$5&lt;&gt;18),$E25=""),"",IF($CS25&lt;=1,27.3,IF($CS25&lt;=2,36,IF($CS25&lt;=4,41.9,IF($CS25&lt;=8,53.1,IF($CS25&lt;=12,68.9,IF($CS25&lt;=18,80.9,IF($CS25&lt;=48,105.3,129.7))))))))</f>
        <v/>
      </c>
      <c r="CW55" s="1"/>
      <c r="CX55" s="1026" t="str">
        <f t="shared" si="271"/>
        <v/>
      </c>
      <c r="CY55" s="1026" t="str">
        <f t="shared" si="272"/>
        <v/>
      </c>
      <c r="CZ55" s="1473" t="str">
        <f t="shared" si="273"/>
        <v/>
      </c>
      <c r="DA55" s="1473" t="str">
        <f t="shared" si="274"/>
        <v/>
      </c>
      <c r="DB55" s="1474" t="str">
        <f t="shared" si="275"/>
        <v/>
      </c>
      <c r="DC55" s="1474" t="str">
        <f t="shared" si="276"/>
        <v/>
      </c>
      <c r="DD55" s="1473" t="str">
        <f t="shared" ref="DD55:DD78" si="400">IF(AND(D26="s",LEN(F26)=2),"2",IF(AND(D26="s",LEN(F26)=3),"3",IF(AND(D26="s",LEN(F26)&gt;3),"","")))</f>
        <v/>
      </c>
      <c r="DE55" s="1473" t="str">
        <f t="shared" ref="DE55:DE78" si="401">IF(AND($D26="s",LEN(G26)=2),"2",IF(AND($D26="s",LEN(G26)=3),"3",IF(AND($D26="s",LEN(G26)&gt;3),"","")))</f>
        <v/>
      </c>
      <c r="DF55" s="1476" t="str">
        <f t="shared" si="277"/>
        <v/>
      </c>
      <c r="DG55" s="1476" t="str">
        <f t="shared" si="278"/>
        <v/>
      </c>
      <c r="DJ55" s="93" t="str">
        <f t="shared" ref="DJ55:DJ78" si="402">IF(OR($AU$7="",DO55=""),"",IF(OR(H26=$AU$6,H26=$P$8),1,""))</f>
        <v/>
      </c>
      <c r="DK55" s="93" t="str">
        <f t="shared" ref="DK55:DK78" si="403">IF(OR($AU$7="",DO55=""),"",IF(H26&lt;=$AU$7,1,""))</f>
        <v/>
      </c>
      <c r="DL55" s="93">
        <f t="shared" ref="DL55:DL78" si="404">IF(DM55="",0,SUMIF($DS$54:$DS$78,DS55,$DM$54:$DM$78))</f>
        <v>0</v>
      </c>
      <c r="DM55" s="93" t="str">
        <f t="shared" si="279"/>
        <v/>
      </c>
      <c r="DN55" s="33">
        <v>2</v>
      </c>
      <c r="DO55" s="93" t="str">
        <f t="shared" si="280"/>
        <v/>
      </c>
      <c r="DP55" s="1"/>
      <c r="DQ55" s="33">
        <v>2</v>
      </c>
      <c r="DR55" s="1486" t="str">
        <f t="shared" ref="DR55:DR78" si="405">IF(AND(F26=$EV$53,B26="nc"),DQ55,"")</f>
        <v/>
      </c>
      <c r="DS55" s="144" t="str">
        <f t="shared" si="281"/>
        <v/>
      </c>
      <c r="DT55" s="144" t="str">
        <f t="shared" si="282"/>
        <v/>
      </c>
      <c r="DU55" s="144" t="str">
        <f t="shared" si="283"/>
        <v/>
      </c>
      <c r="DV55" s="144" t="str">
        <f t="shared" si="284"/>
        <v/>
      </c>
      <c r="DW55" s="144" t="str">
        <f t="shared" si="285"/>
        <v/>
      </c>
      <c r="DX55" s="144" t="str">
        <f t="shared" si="286"/>
        <v/>
      </c>
      <c r="DY55" s="144" t="str">
        <f t="shared" si="287"/>
        <v/>
      </c>
      <c r="DZ55" s="144" t="str">
        <f t="shared" si="288"/>
        <v/>
      </c>
      <c r="EA55" s="144" t="str">
        <f t="shared" si="289"/>
        <v/>
      </c>
      <c r="EB55" s="144" t="str">
        <f t="shared" si="290"/>
        <v/>
      </c>
      <c r="EC55" s="144" t="str">
        <f t="shared" si="291"/>
        <v/>
      </c>
      <c r="ED55" s="144" t="str">
        <f t="shared" si="292"/>
        <v/>
      </c>
      <c r="EE55" s="144" t="str">
        <f t="shared" si="293"/>
        <v/>
      </c>
      <c r="EF55" s="144" t="str">
        <f t="shared" si="294"/>
        <v/>
      </c>
      <c r="EG55" s="144" t="str">
        <f t="shared" si="295"/>
        <v/>
      </c>
      <c r="EH55" s="144" t="str">
        <f t="shared" si="296"/>
        <v/>
      </c>
      <c r="EI55" s="144" t="str">
        <f t="shared" si="297"/>
        <v/>
      </c>
      <c r="EJ55" s="144" t="str">
        <f t="shared" si="298"/>
        <v/>
      </c>
      <c r="EK55" s="144" t="str">
        <f t="shared" si="299"/>
        <v/>
      </c>
      <c r="EL55" s="144" t="str">
        <f t="shared" si="300"/>
        <v/>
      </c>
      <c r="EM55" s="144" t="str">
        <f t="shared" si="301"/>
        <v/>
      </c>
      <c r="EN55" s="720" t="str">
        <f t="shared" si="302"/>
        <v/>
      </c>
      <c r="EO55" s="720" t="str">
        <f t="shared" si="303"/>
        <v/>
      </c>
      <c r="EP55" s="720" t="str">
        <f t="shared" si="304"/>
        <v/>
      </c>
      <c r="EQ55" s="720" t="str">
        <f t="shared" si="305"/>
        <v/>
      </c>
      <c r="ER55" s="720" t="str">
        <f t="shared" si="306"/>
        <v/>
      </c>
      <c r="ES55" s="1460">
        <f t="shared" ref="ES55:ES78" si="406">IF(OR(D26="s",H26&lt;=$AU$7),0,IF(AND($EV$53&lt;&gt;"",D26&lt;&gt;"s",H26&gt;=$AU$6,B26="c"),ET55*$ES$53,IF(AND(Q26&lt;&gt;"",$EV$53&lt;&gt;"",D26&lt;&gt;"s",H26&gt;=$AU$7,OR(B26="nc",B26="nc1")),$ES$53-Q26,0)))</f>
        <v>0</v>
      </c>
      <c r="ET55" s="201">
        <f t="shared" ref="ET55:ET78" si="407">COUNTIF(DS55:ER55,$EV$53)</f>
        <v>26</v>
      </c>
      <c r="EU55" s="137" t="str">
        <f t="shared" ref="EU55:EU78" si="408">IF(OR(EV55="",$EW$52=0),"",IF(EW55=$EW$52,1,""))</f>
        <v/>
      </c>
      <c r="EV55" s="290" t="str">
        <f t="shared" si="307"/>
        <v/>
      </c>
      <c r="EW55" s="290" t="str">
        <f t="shared" si="308"/>
        <v/>
      </c>
      <c r="EX55" s="725" t="str">
        <f t="shared" si="309"/>
        <v/>
      </c>
      <c r="EY55" s="1322">
        <f t="shared" si="310"/>
        <v>0</v>
      </c>
      <c r="EZ55" s="201">
        <f t="shared" ref="EZ55:EZ78" si="409">COUNTIF(DT55:ER55,$FB$53)</f>
        <v>25</v>
      </c>
      <c r="FA55" s="1467" t="str">
        <f t="shared" ref="FA55:FA78" si="410">IF(DS55="","",COUNTIF($DS$54:$DS$78,DS55))</f>
        <v/>
      </c>
      <c r="FB55" s="216" t="str">
        <f t="shared" ref="FB55:FB78" si="411">IF(AND(FA55&gt;1,OR(DP26&gt;=1,A26="ss1"),H26&gt;0,DT55&lt;&gt;""),DS55,"")</f>
        <v/>
      </c>
      <c r="FC55" s="795" t="str" cm="1">
        <f t="array" ref="FC55">IF($FB55="","",INDEX($H$25:$H$49,$DN26))</f>
        <v/>
      </c>
      <c r="FD55" s="234" t="str">
        <f t="shared" ref="FD55:FD78" si="412">IF(OR(FF55="",FG55=""),"",IF(AND(Q26&lt;&gt;"",$EV$53&lt;&gt;"",D26&lt;&gt;"s",H26&gt;=$AU$7,B26="nc"),Q26,FE55+FK55+FO55+FS55+FW55+GA55+GE55+GI55+GM55+GQ55+GU55+GY55+HC55+HG55+HK55+HO55+HS55+HW55+IA55+IE55+II55+IM55+IQ55+IU55+IY55))</f>
        <v/>
      </c>
      <c r="FE55" s="90">
        <f t="shared" si="311"/>
        <v>0</v>
      </c>
      <c r="FF55" s="711" t="str">
        <f t="shared" ref="FF55:FG78" si="413">IF(FF26=0,"",FF26)</f>
        <v/>
      </c>
      <c r="FG55" s="712" t="str">
        <f t="shared" si="413"/>
        <v/>
      </c>
      <c r="FH55" s="701" t="str">
        <f>IF(OR(FG55=0,COUNTIF($FF$54:$FF$78,FG55)=0),"",IF(FG55=$EV$53,$BA$23,MATCH(FG55,$FF$54:$FF$78,0)))</f>
        <v/>
      </c>
      <c r="FI55" s="704" t="str">
        <f t="shared" si="312"/>
        <v/>
      </c>
      <c r="FJ55" s="701">
        <f t="shared" si="313"/>
        <v>1</v>
      </c>
      <c r="FK55" s="128">
        <f t="shared" ref="FK55:FK78" si="414">IF(FJ55="",0,LOOKUP(FJ55,$DN$25:$DN$49,$FE$54:$FE$78))</f>
        <v>0</v>
      </c>
      <c r="FL55" s="701" t="str">
        <f t="shared" ref="FL55:FL78" si="415">IF(OR(FI55=0,COUNTIF($FF$54:$FF$78,FI55)=0),"",IF(FI55=$EV$53,$BA$23,MATCH(FI55,$FF$54:$FF$78,0)))</f>
        <v/>
      </c>
      <c r="FM55" s="704" t="str">
        <f t="shared" si="314"/>
        <v/>
      </c>
      <c r="FN55" s="701">
        <f t="shared" si="315"/>
        <v>1</v>
      </c>
      <c r="FO55" s="128">
        <f t="shared" si="316"/>
        <v>0</v>
      </c>
      <c r="FP55" s="701" t="str">
        <f t="shared" ref="FP55:FP78" si="416">IF(OR(FM55=0,COUNTIF($FF$54:$FF$78,FM55)=0),"",IF(FM55=$EV$53,$BA$23,MATCH(FM55,$FF$54:$FF$78,0)))</f>
        <v/>
      </c>
      <c r="FQ55" s="704" t="str">
        <f t="shared" si="317"/>
        <v/>
      </c>
      <c r="FR55" s="701">
        <f t="shared" ref="FR55:FR78" si="417">IF(OR(FQ55=0,COUNTIF($FG$54:$FG$78,FQ55)=0),"",MATCH(FQ55,$FG$54:$FG$78,0))</f>
        <v>1</v>
      </c>
      <c r="FS55" s="128">
        <f t="shared" si="318"/>
        <v>0</v>
      </c>
      <c r="FT55" s="701" t="str">
        <f t="shared" ref="FT55:FT78" si="418">IF(OR(FQ55=0,COUNTIF($FF$54:$FF$78,FQ55)=0),"",IF(FQ55=$EV$53,$BA$23,MATCH(FQ55,$FF$54:$FF$78,0)))</f>
        <v/>
      </c>
      <c r="FU55" s="704" t="str">
        <f t="shared" si="319"/>
        <v/>
      </c>
      <c r="FV55" s="701">
        <f t="shared" ref="FV55:FV78" si="419">IF(OR(FU55=0,COUNTIF($FG$54:$FG$78,FU55)=0),"",MATCH(FU55,$FG$54:$FG$78,0))</f>
        <v>1</v>
      </c>
      <c r="FW55" s="128">
        <f t="shared" si="320"/>
        <v>0</v>
      </c>
      <c r="FX55" s="701" t="str">
        <f t="shared" ref="FX55:FX78" si="420">IF(OR(FU55=0,COUNTIF($FF$54:$FF$78,FU55)=0),"",IF(FU55=$EV$53,$BA$23,MATCH(FU55,$FF$54:$FF$78,0)))</f>
        <v/>
      </c>
      <c r="FY55" s="704" t="str">
        <f t="shared" si="321"/>
        <v/>
      </c>
      <c r="FZ55" s="701">
        <f t="shared" ref="FZ55:FZ78" si="421">IF(OR(FY55=0,COUNTIF($FG$54:$FG$78,FY55)=0),"",MATCH(FY55,$FG$54:$FG$78,0))</f>
        <v>1</v>
      </c>
      <c r="GA55" s="128">
        <f t="shared" si="322"/>
        <v>0</v>
      </c>
      <c r="GB55" s="701" t="str">
        <f t="shared" ref="GB55:GB78" si="422">IF(OR(FY55=0,COUNTIF($FF$54:$FF$78,FY55)=0),"",IF(FY55=$EV$53,$BA$23,MATCH(FY55,$FF$54:$FF$78,0)))</f>
        <v/>
      </c>
      <c r="GC55" s="704" t="str">
        <f t="shared" si="323"/>
        <v/>
      </c>
      <c r="GD55" s="701">
        <f t="shared" ref="GD55:GD78" si="423">IF(OR(GC55=0,COUNTIF($FG$54:$FG$78,GC55)=0),"",MATCH(GC55,$FG$54:$FG$78,0))</f>
        <v>1</v>
      </c>
      <c r="GE55" s="128">
        <f t="shared" si="324"/>
        <v>0</v>
      </c>
      <c r="GF55" s="701" t="str">
        <f t="shared" ref="GF55:GF78" si="424">IF(OR(GC55=0,COUNTIF($FF$54:$FF$78,GC55)=0),"",IF(GC55=$EV$53,$BA$23,MATCH(GC55,$FF$54:$FF$78,0)))</f>
        <v/>
      </c>
      <c r="GG55" s="704" t="str">
        <f t="shared" si="325"/>
        <v/>
      </c>
      <c r="GH55" s="701">
        <f t="shared" si="326"/>
        <v>1</v>
      </c>
      <c r="GI55" s="128">
        <f t="shared" si="327"/>
        <v>0</v>
      </c>
      <c r="GJ55" s="701" t="str">
        <f t="shared" ref="GJ55:GJ78" si="425">IF(OR(GG55=0,COUNTIF($FF$54:$FF$78,GG55)=0),"",IF(GG55=$EV$53,$BA$23,MATCH(GG55,$FF$54:$FF$78,0)))</f>
        <v/>
      </c>
      <c r="GK55" s="704" t="str">
        <f t="shared" si="328"/>
        <v/>
      </c>
      <c r="GL55" s="701">
        <f t="shared" si="329"/>
        <v>1</v>
      </c>
      <c r="GM55" s="128">
        <f t="shared" si="330"/>
        <v>0</v>
      </c>
      <c r="GN55" s="701" t="str">
        <f t="shared" ref="GN55:GN78" si="426">IF(OR(GK55=0,COUNTIF($FF$54:$FF$78,GK55)=0),"",IF(GK55=$EV$53,$BA$23,MATCH(GK55,$FF$54:$FF$78,0)))</f>
        <v/>
      </c>
      <c r="GO55" s="704" t="str">
        <f t="shared" si="331"/>
        <v/>
      </c>
      <c r="GP55" s="701">
        <f t="shared" si="332"/>
        <v>1</v>
      </c>
      <c r="GQ55" s="128">
        <f t="shared" si="333"/>
        <v>0</v>
      </c>
      <c r="GR55" s="701" t="str">
        <f t="shared" ref="GR55:GR78" si="427">IF(OR(GO55=0,COUNTIF($FF$54:$FF$78,GO55)=0),"",IF(GO55=$EV$53,$BA$23,MATCH(GO55,$FF$54:$FF$78,0)))</f>
        <v/>
      </c>
      <c r="GS55" s="704" t="str">
        <f t="shared" si="334"/>
        <v/>
      </c>
      <c r="GT55" s="701">
        <f t="shared" si="335"/>
        <v>1</v>
      </c>
      <c r="GU55" s="128">
        <f t="shared" si="336"/>
        <v>0</v>
      </c>
      <c r="GV55" s="701" t="str">
        <f t="shared" ref="GV55:GV78" si="428">IF(OR(GS55=0,COUNTIF($FF$54:$FF$78,GS55)=0),"",IF(GS55=$EV$53,$BA$23,MATCH(GS55,$FF$54:$FF$78,0)))</f>
        <v/>
      </c>
      <c r="GW55" s="704" t="str">
        <f t="shared" si="337"/>
        <v/>
      </c>
      <c r="GX55" s="701">
        <f t="shared" si="338"/>
        <v>1</v>
      </c>
      <c r="GY55" s="128">
        <f t="shared" si="339"/>
        <v>0</v>
      </c>
      <c r="GZ55" s="701" t="str">
        <f t="shared" ref="GZ55:GZ78" si="429">IF(OR(GW55=0,COUNTIF($FF$54:$FF$78,GW55)=0),"",IF(GW55=$EV$53,$BA$23,MATCH(GW55,$FF$54:$FF$78,0)))</f>
        <v/>
      </c>
      <c r="HA55" s="704" t="str">
        <f t="shared" si="340"/>
        <v/>
      </c>
      <c r="HB55" s="701">
        <f t="shared" si="341"/>
        <v>1</v>
      </c>
      <c r="HC55" s="128">
        <f t="shared" si="342"/>
        <v>0</v>
      </c>
      <c r="HD55" s="701" t="str">
        <f t="shared" ref="HD55:HD78" si="430">IF(OR(HA55=0,COUNTIF($FF$54:$FF$78,HA55)=0),"",IF(HA55=$EV$53,$BA$23,MATCH(HA55,$FF$54:$FF$78,0)))</f>
        <v/>
      </c>
      <c r="HE55" s="704" t="str">
        <f t="shared" si="343"/>
        <v/>
      </c>
      <c r="HF55" s="701">
        <f t="shared" si="344"/>
        <v>1</v>
      </c>
      <c r="HG55" s="128">
        <f t="shared" si="345"/>
        <v>0</v>
      </c>
      <c r="HH55" s="701" t="str">
        <f t="shared" ref="HH55:HH78" si="431">IF(OR(HE55=0,COUNTIF($FF$54:$FF$78,HE55)=0),"",IF(HE55=$EV$53,$BA$23,MATCH(HE55,$FF$54:$FF$78,0)))</f>
        <v/>
      </c>
      <c r="HI55" s="704" t="str">
        <f t="shared" si="346"/>
        <v/>
      </c>
      <c r="HJ55" s="701">
        <f t="shared" si="347"/>
        <v>1</v>
      </c>
      <c r="HK55" s="128">
        <f t="shared" si="348"/>
        <v>0</v>
      </c>
      <c r="HL55" s="701" t="str">
        <f t="shared" ref="HL55:HL78" si="432">IF(OR(HI55=0,COUNTIF($FF$54:$FF$78,HI55)=0),"",IF(HI55=$EV$53,$BA$23,MATCH(HI55,$FF$54:$FF$78,0)))</f>
        <v/>
      </c>
      <c r="HM55" s="704" t="str">
        <f t="shared" si="349"/>
        <v/>
      </c>
      <c r="HN55" s="701">
        <f t="shared" si="350"/>
        <v>1</v>
      </c>
      <c r="HO55" s="128">
        <f t="shared" si="351"/>
        <v>0</v>
      </c>
      <c r="HP55" s="701" t="str">
        <f t="shared" ref="HP55:HP78" si="433">IF(OR(HM55=0,COUNTIF($FF$54:$FF$78,HM55)=0),"",IF(HM55=$EV$53,$BA$23,MATCH(HM55,$FF$54:$FF$78,0)))</f>
        <v/>
      </c>
      <c r="HQ55" s="704" t="str">
        <f t="shared" si="352"/>
        <v/>
      </c>
      <c r="HR55" s="701">
        <f t="shared" si="353"/>
        <v>1</v>
      </c>
      <c r="HS55" s="128">
        <f t="shared" si="354"/>
        <v>0</v>
      </c>
      <c r="HT55" s="701" t="str">
        <f t="shared" ref="HT55:HT78" si="434">IF(OR(HQ55=0,COUNTIF($FF$54:$FF$78,HQ55)=0),"",IF(HQ55=$EV$53,$BA$23,MATCH(HQ55,$FF$54:$FF$78,0)))</f>
        <v/>
      </c>
      <c r="HU55" s="704" t="str">
        <f t="shared" si="355"/>
        <v/>
      </c>
      <c r="HV55" s="701">
        <f t="shared" si="356"/>
        <v>1</v>
      </c>
      <c r="HW55" s="128">
        <f t="shared" si="357"/>
        <v>0</v>
      </c>
      <c r="HX55" s="701" t="str">
        <f t="shared" ref="HX55:HX78" si="435">IF(OR(HU55=0,COUNTIF($FF$54:$FF$78,HU55)=0),"",IF(HU55=$EV$53,$BA$23,MATCH(HU55,$FF$54:$FF$78,0)))</f>
        <v/>
      </c>
      <c r="HY55" s="704" t="str">
        <f t="shared" si="358"/>
        <v/>
      </c>
      <c r="HZ55" s="701">
        <f t="shared" si="359"/>
        <v>1</v>
      </c>
      <c r="IA55" s="128">
        <f t="shared" si="360"/>
        <v>0</v>
      </c>
      <c r="IB55" s="701" t="str">
        <f t="shared" ref="IB55:IB78" si="436">IF(OR(HY55=0,COUNTIF($FF$54:$FF$78,HY55)=0),"",IF(HY55=$EV$53,$BA$23,MATCH(HY55,$FF$54:$FF$78,0)))</f>
        <v/>
      </c>
      <c r="IC55" s="704" t="str">
        <f t="shared" si="361"/>
        <v/>
      </c>
      <c r="ID55" s="701">
        <f t="shared" si="362"/>
        <v>1</v>
      </c>
      <c r="IE55" s="128">
        <f t="shared" si="363"/>
        <v>0</v>
      </c>
      <c r="IF55" s="701" t="str">
        <f t="shared" ref="IF55:IF78" si="437">IF(OR(IC55=0,COUNTIF($FF$54:$FF$78,IC55)=0),"",IF(IC55=$EV$53,$BA$23,MATCH(IC55,$FF$54:$FF$78,0)))</f>
        <v/>
      </c>
      <c r="IG55" s="704" t="str">
        <f t="shared" si="364"/>
        <v/>
      </c>
      <c r="IH55" s="701">
        <f t="shared" si="365"/>
        <v>1</v>
      </c>
      <c r="II55" s="128">
        <f t="shared" si="366"/>
        <v>0</v>
      </c>
      <c r="IJ55" s="701" t="str">
        <f t="shared" ref="IJ55:IJ78" si="438">IF(OR(IG55=0,COUNTIF($FF$54:$FF$78,IG55)=0),"",IF(IG55=$EV$53,$BA$23,MATCH(IG55,$FF$54:$FF$78,0)))</f>
        <v/>
      </c>
      <c r="IK55" s="704" t="str">
        <f t="shared" si="367"/>
        <v/>
      </c>
      <c r="IL55" s="701">
        <f t="shared" si="368"/>
        <v>1</v>
      </c>
      <c r="IM55" s="128">
        <f t="shared" si="369"/>
        <v>0</v>
      </c>
      <c r="IN55" s="701" t="str">
        <f t="shared" ref="IN55:IN78" si="439">IF(OR(IK55=0,COUNTIF($FF$54:$FF$78,IK55)=0),"",IF(IK55=$EV$53,$BA$23,MATCH(IK55,$FF$54:$FF$78,0)))</f>
        <v/>
      </c>
      <c r="IO55" s="704" t="str">
        <f t="shared" si="370"/>
        <v/>
      </c>
      <c r="IP55" s="701">
        <f t="shared" si="371"/>
        <v>1</v>
      </c>
      <c r="IQ55" s="128">
        <f t="shared" si="372"/>
        <v>0</v>
      </c>
      <c r="IR55" s="701" t="str">
        <f t="shared" ref="IR55:IR78" si="440">IF(OR(IO55=0,COUNTIF($FF$54:$FF$78,IO55)=0),"",IF(IO55=$EV$53,$BA$23,MATCH(IO55,$FF$54:$FF$78,0)))</f>
        <v/>
      </c>
      <c r="IS55" s="704" t="str">
        <f t="shared" si="373"/>
        <v/>
      </c>
      <c r="IT55" s="701">
        <f t="shared" si="374"/>
        <v>1</v>
      </c>
      <c r="IU55" s="128">
        <f t="shared" si="375"/>
        <v>0</v>
      </c>
      <c r="IV55" s="701" t="str">
        <f t="shared" ref="IV55:IV78" si="441">IF(OR(IS55=0,COUNTIF($FF$54:$FF$78,IS55)=0),"",IF(IS55=$EV$53,$BA$23,MATCH(IS55,$FF$54:$FF$78,0)))</f>
        <v/>
      </c>
      <c r="IW55" s="704" t="str">
        <f t="shared" si="376"/>
        <v/>
      </c>
      <c r="IX55" s="701">
        <f t="shared" si="377"/>
        <v>1</v>
      </c>
      <c r="IY55" s="128">
        <f t="shared" si="378"/>
        <v>0</v>
      </c>
    </row>
    <row r="56" spans="1:259" s="2" customFormat="1" ht="14.25" customHeight="1" thickTop="1" thickBot="1" x14ac:dyDescent="0.35">
      <c r="D56" s="50"/>
      <c r="E56" s="1"/>
      <c r="F56" s="137"/>
      <c r="G56" s="1"/>
      <c r="H56" s="1"/>
      <c r="I56" s="684" t="str">
        <f t="shared" si="243"/>
        <v/>
      </c>
      <c r="J56" s="685" t="str">
        <f t="shared" si="244"/>
        <v/>
      </c>
      <c r="K56" s="768" t="str">
        <f t="shared" si="248"/>
        <v/>
      </c>
      <c r="L56" s="33"/>
      <c r="M56" s="33"/>
      <c r="P56" s="684" t="str">
        <f t="shared" si="245"/>
        <v/>
      </c>
      <c r="Q56" s="685" t="str">
        <f t="shared" si="246"/>
        <v/>
      </c>
      <c r="R56" s="768" t="str">
        <f t="shared" si="247"/>
        <v/>
      </c>
      <c r="S56" s="33"/>
      <c r="T56" s="804"/>
      <c r="U56" s="804"/>
      <c r="V56" s="769"/>
      <c r="W56" s="1"/>
      <c r="X56" s="1"/>
      <c r="Y56" s="1"/>
      <c r="Z56" s="25"/>
      <c r="AA56" s="25"/>
      <c r="AB56" s="284"/>
      <c r="AC56" s="698"/>
      <c r="AE56" s="698"/>
      <c r="AF56" s="698"/>
      <c r="AG56" s="1"/>
      <c r="AH56" s="698"/>
      <c r="AI56" s="698"/>
      <c r="AJ56" s="698"/>
      <c r="AK56" s="698"/>
      <c r="AL56" s="698"/>
      <c r="AM56" s="698"/>
      <c r="AN56" s="698"/>
      <c r="AO56" s="698"/>
      <c r="AP56" s="698"/>
      <c r="AQ56" s="681"/>
      <c r="AR56" s="471"/>
      <c r="AS56" s="70"/>
      <c r="AT56" s="87" t="str">
        <f>IF($F27="","",IF($F27=$F$25,$AW$25,IF($F27=$F$26,$AW$26,IF($F27=$F$28,$AW$28,IF($F27=$F$29,$AW$29,IF($F27=$F$30,$AW$30,IF($F27=$F$31,$AW$31,"")))))))</f>
        <v/>
      </c>
      <c r="AU56" s="78" t="str">
        <f t="shared" si="249"/>
        <v/>
      </c>
      <c r="AV56" s="78" t="str">
        <f t="shared" si="250"/>
        <v/>
      </c>
      <c r="AW56" s="78" t="str">
        <f t="shared" si="251"/>
        <v/>
      </c>
      <c r="AX56" s="239">
        <f t="shared" si="252"/>
        <v>0</v>
      </c>
      <c r="AY56" s="239" t="str">
        <f t="shared" si="253"/>
        <v/>
      </c>
      <c r="AZ56" s="214" t="str">
        <f t="shared" si="254"/>
        <v/>
      </c>
      <c r="BA56" s="214" t="str">
        <f t="shared" si="255"/>
        <v/>
      </c>
      <c r="BB56" s="214" t="str">
        <f t="shared" si="256"/>
        <v/>
      </c>
      <c r="BC56" s="214" t="str">
        <f t="shared" si="257"/>
        <v/>
      </c>
      <c r="BD56" s="1322">
        <f t="shared" si="379"/>
        <v>3</v>
      </c>
      <c r="BE56" s="1"/>
      <c r="BF56" s="214" t="str">
        <f t="shared" si="258"/>
        <v/>
      </c>
      <c r="BG56" s="94">
        <f t="shared" si="259"/>
        <v>0</v>
      </c>
      <c r="BH56" s="94">
        <f t="shared" si="260"/>
        <v>0</v>
      </c>
      <c r="BI56" s="94">
        <f t="shared" si="261"/>
        <v>0</v>
      </c>
      <c r="BJ56" s="237">
        <f t="shared" si="380"/>
        <v>0</v>
      </c>
      <c r="BK56" s="237">
        <f t="shared" si="262"/>
        <v>0</v>
      </c>
      <c r="BL56" s="237">
        <f t="shared" si="263"/>
        <v>0</v>
      </c>
      <c r="BM56" s="237">
        <f t="shared" si="264"/>
        <v>0</v>
      </c>
      <c r="BN56" s="237">
        <f t="shared" si="265"/>
        <v>0</v>
      </c>
      <c r="BO56" s="237">
        <f t="shared" si="266"/>
        <v>0</v>
      </c>
      <c r="BP56" s="237">
        <f t="shared" si="267"/>
        <v>0</v>
      </c>
      <c r="BQ56" s="237">
        <f t="shared" si="268"/>
        <v>0</v>
      </c>
      <c r="BR56" s="237">
        <f t="shared" si="269"/>
        <v>0</v>
      </c>
      <c r="BS56" s="237">
        <f t="shared" si="270"/>
        <v>0</v>
      </c>
      <c r="BT56" s="237">
        <f t="shared" si="381"/>
        <v>0</v>
      </c>
      <c r="BU56" s="237">
        <f t="shared" si="382"/>
        <v>0</v>
      </c>
      <c r="BV56" s="237">
        <f t="shared" si="383"/>
        <v>0</v>
      </c>
      <c r="BW56" s="237">
        <f t="shared" si="384"/>
        <v>0</v>
      </c>
      <c r="BX56" s="237">
        <f t="shared" si="385"/>
        <v>0</v>
      </c>
      <c r="BY56" s="237">
        <f t="shared" si="386"/>
        <v>0</v>
      </c>
      <c r="BZ56" s="237">
        <f t="shared" si="387"/>
        <v>0</v>
      </c>
      <c r="CA56" s="237">
        <f t="shared" si="388"/>
        <v>0</v>
      </c>
      <c r="CB56" s="237">
        <f t="shared" si="389"/>
        <v>0</v>
      </c>
      <c r="CC56" s="237">
        <f t="shared" si="390"/>
        <v>0</v>
      </c>
      <c r="CD56" s="237">
        <f t="shared" si="391"/>
        <v>0</v>
      </c>
      <c r="CE56" s="237">
        <f t="shared" si="392"/>
        <v>0</v>
      </c>
      <c r="CF56" s="237">
        <f t="shared" si="393"/>
        <v>0</v>
      </c>
      <c r="CG56" s="237">
        <f t="shared" si="394"/>
        <v>0</v>
      </c>
      <c r="CH56" s="237">
        <f t="shared" si="395"/>
        <v>0</v>
      </c>
      <c r="CI56" s="3"/>
      <c r="CJ56" s="3"/>
      <c r="CK56" s="1"/>
      <c r="CL56" s="1"/>
      <c r="CM56" s="1"/>
      <c r="CN56" s="1"/>
      <c r="CO56" s="1"/>
      <c r="CP56" s="1"/>
      <c r="CQ56" s="1"/>
      <c r="CR56" s="524">
        <f t="shared" si="396"/>
        <v>0</v>
      </c>
      <c r="CT56" s="495" t="str">
        <f t="shared" si="397"/>
        <v/>
      </c>
      <c r="CU56" s="496" t="str">
        <f t="shared" si="398"/>
        <v/>
      </c>
      <c r="CV56" s="496" t="str">
        <f t="shared" si="399"/>
        <v/>
      </c>
      <c r="CW56" s="1"/>
      <c r="CX56" s="1026" t="str">
        <f t="shared" si="271"/>
        <v/>
      </c>
      <c r="CY56" s="1026" t="str">
        <f t="shared" si="272"/>
        <v/>
      </c>
      <c r="CZ56" s="1473" t="str">
        <f t="shared" si="273"/>
        <v/>
      </c>
      <c r="DA56" s="1473" t="str">
        <f t="shared" si="274"/>
        <v/>
      </c>
      <c r="DB56" s="1474" t="str">
        <f t="shared" si="275"/>
        <v/>
      </c>
      <c r="DC56" s="1474" t="str">
        <f t="shared" si="276"/>
        <v/>
      </c>
      <c r="DD56" s="1473" t="str">
        <f t="shared" si="400"/>
        <v/>
      </c>
      <c r="DE56" s="1473" t="str">
        <f t="shared" si="401"/>
        <v/>
      </c>
      <c r="DF56" s="1476" t="str">
        <f t="shared" si="277"/>
        <v/>
      </c>
      <c r="DG56" s="1476" t="str">
        <f t="shared" si="278"/>
        <v/>
      </c>
      <c r="DJ56" s="93" t="str">
        <f t="shared" si="402"/>
        <v/>
      </c>
      <c r="DK56" s="93" t="str">
        <f t="shared" si="403"/>
        <v/>
      </c>
      <c r="DL56" s="93">
        <f t="shared" si="404"/>
        <v>0</v>
      </c>
      <c r="DM56" s="93" t="str">
        <f t="shared" si="279"/>
        <v/>
      </c>
      <c r="DN56" s="33">
        <v>3</v>
      </c>
      <c r="DO56" s="93" t="str">
        <f t="shared" si="280"/>
        <v/>
      </c>
      <c r="DP56" s="1"/>
      <c r="DQ56" s="33">
        <v>3</v>
      </c>
      <c r="DR56" s="1486" t="str">
        <f t="shared" si="405"/>
        <v/>
      </c>
      <c r="DS56" s="144" t="str">
        <f t="shared" si="281"/>
        <v/>
      </c>
      <c r="DT56" s="144" t="str">
        <f t="shared" si="282"/>
        <v/>
      </c>
      <c r="DU56" s="144" t="str">
        <f t="shared" si="283"/>
        <v/>
      </c>
      <c r="DV56" s="144" t="str">
        <f t="shared" si="284"/>
        <v/>
      </c>
      <c r="DW56" s="144" t="str">
        <f t="shared" si="285"/>
        <v/>
      </c>
      <c r="DX56" s="144" t="str">
        <f t="shared" si="286"/>
        <v/>
      </c>
      <c r="DY56" s="144" t="str">
        <f t="shared" si="287"/>
        <v/>
      </c>
      <c r="DZ56" s="144" t="str">
        <f t="shared" si="288"/>
        <v/>
      </c>
      <c r="EA56" s="144" t="str">
        <f t="shared" si="289"/>
        <v/>
      </c>
      <c r="EB56" s="144" t="str">
        <f t="shared" si="290"/>
        <v/>
      </c>
      <c r="EC56" s="144" t="str">
        <f t="shared" si="291"/>
        <v/>
      </c>
      <c r="ED56" s="144" t="str">
        <f t="shared" si="292"/>
        <v/>
      </c>
      <c r="EE56" s="144" t="str">
        <f t="shared" si="293"/>
        <v/>
      </c>
      <c r="EF56" s="144" t="str">
        <f t="shared" si="294"/>
        <v/>
      </c>
      <c r="EG56" s="144" t="str">
        <f t="shared" si="295"/>
        <v/>
      </c>
      <c r="EH56" s="144" t="str">
        <f t="shared" si="296"/>
        <v/>
      </c>
      <c r="EI56" s="144" t="str">
        <f t="shared" si="297"/>
        <v/>
      </c>
      <c r="EJ56" s="144" t="str">
        <f t="shared" si="298"/>
        <v/>
      </c>
      <c r="EK56" s="144" t="str">
        <f t="shared" si="299"/>
        <v/>
      </c>
      <c r="EL56" s="144" t="str">
        <f t="shared" si="300"/>
        <v/>
      </c>
      <c r="EM56" s="144" t="str">
        <f t="shared" si="301"/>
        <v/>
      </c>
      <c r="EN56" s="720" t="str">
        <f t="shared" si="302"/>
        <v/>
      </c>
      <c r="EO56" s="720" t="str">
        <f t="shared" si="303"/>
        <v/>
      </c>
      <c r="EP56" s="720" t="str">
        <f t="shared" si="304"/>
        <v/>
      </c>
      <c r="EQ56" s="720" t="str">
        <f t="shared" si="305"/>
        <v/>
      </c>
      <c r="ER56" s="720" t="str">
        <f t="shared" si="306"/>
        <v/>
      </c>
      <c r="ES56" s="1460">
        <f t="shared" si="406"/>
        <v>0</v>
      </c>
      <c r="ET56" s="201">
        <f t="shared" si="407"/>
        <v>26</v>
      </c>
      <c r="EU56" s="137" t="str">
        <f t="shared" si="408"/>
        <v/>
      </c>
      <c r="EV56" s="290" t="str">
        <f t="shared" si="307"/>
        <v/>
      </c>
      <c r="EW56" s="290" t="str">
        <f>IF(OR(DM56="",DL56&lt;2),"",IF(AND(OR(H27&gt;=$AU$7,H27&gt;=$AU$6),COUNTIF($DS$54:$DS$78,DS56)&gt;1),H27,""))</f>
        <v/>
      </c>
      <c r="EX56" s="725" t="str">
        <f>IF(OR(FF56="",FG56=""),"",IF(H27&gt;=1,EY56+ES56+FD56,""))</f>
        <v/>
      </c>
      <c r="EY56" s="1322">
        <f t="shared" si="310"/>
        <v>0</v>
      </c>
      <c r="EZ56" s="201">
        <f t="shared" si="409"/>
        <v>25</v>
      </c>
      <c r="FA56" s="1467" t="str">
        <f t="shared" si="410"/>
        <v/>
      </c>
      <c r="FB56" s="216" t="str">
        <f t="shared" si="411"/>
        <v/>
      </c>
      <c r="FC56" s="795" t="str" cm="1">
        <f t="array" ref="FC56">IF($FB56="","",INDEX($H$25:$H$49,$DN27))</f>
        <v/>
      </c>
      <c r="FD56" s="234" t="str">
        <f>IF(OR(FF56="",FG56=""),"",IF(AND(Q27&lt;&gt;"",$EV$53&lt;&gt;"",D27&lt;&gt;"s",H27&gt;=$AU$7,B27="nc"),Q27,FE56+FK56+FO56+FS56+FW56+GA56+GE56+GI56+GM56+GQ56+GU56+GY56+HC56+HG56+HK56+HO56+HS56+HW56+IA56+IE56+II56+IM56+IQ56+IU56+IY56))</f>
        <v/>
      </c>
      <c r="FE56" s="90">
        <f>IF(OR($Q27="",FG56=""),0,$Q27)</f>
        <v>0</v>
      </c>
      <c r="FF56" s="711" t="str">
        <f t="shared" si="413"/>
        <v/>
      </c>
      <c r="FG56" s="712" t="str">
        <f t="shared" si="413"/>
        <v/>
      </c>
      <c r="FH56" s="701" t="str">
        <f t="shared" ref="FH56:FH58" si="442">IF(OR(FG56=0,COUNTIF($FF$54:$FF$78,FG56)=0),"",IF(FG56=$EV$53,$BA$23,MATCH(FG56,$FF$54:$FF$78,0)))</f>
        <v/>
      </c>
      <c r="FI56" s="704" t="str">
        <f t="shared" si="312"/>
        <v/>
      </c>
      <c r="FJ56" s="701">
        <f t="shared" si="313"/>
        <v>1</v>
      </c>
      <c r="FK56" s="128">
        <f t="shared" si="414"/>
        <v>0</v>
      </c>
      <c r="FL56" s="701" t="str">
        <f t="shared" si="415"/>
        <v/>
      </c>
      <c r="FM56" s="704" t="str">
        <f t="shared" si="314"/>
        <v/>
      </c>
      <c r="FN56" s="701">
        <f t="shared" si="315"/>
        <v>1</v>
      </c>
      <c r="FO56" s="128">
        <f t="shared" si="316"/>
        <v>0</v>
      </c>
      <c r="FP56" s="701" t="str">
        <f t="shared" si="416"/>
        <v/>
      </c>
      <c r="FQ56" s="704" t="str">
        <f t="shared" si="317"/>
        <v/>
      </c>
      <c r="FR56" s="701">
        <f t="shared" si="417"/>
        <v>1</v>
      </c>
      <c r="FS56" s="128">
        <f t="shared" si="318"/>
        <v>0</v>
      </c>
      <c r="FT56" s="701" t="str">
        <f t="shared" si="418"/>
        <v/>
      </c>
      <c r="FU56" s="704" t="str">
        <f t="shared" si="319"/>
        <v/>
      </c>
      <c r="FV56" s="701">
        <f t="shared" si="419"/>
        <v>1</v>
      </c>
      <c r="FW56" s="128">
        <f t="shared" si="320"/>
        <v>0</v>
      </c>
      <c r="FX56" s="701" t="str">
        <f t="shared" si="420"/>
        <v/>
      </c>
      <c r="FY56" s="704" t="str">
        <f t="shared" si="321"/>
        <v/>
      </c>
      <c r="FZ56" s="701">
        <f t="shared" si="421"/>
        <v>1</v>
      </c>
      <c r="GA56" s="128">
        <f t="shared" si="322"/>
        <v>0</v>
      </c>
      <c r="GB56" s="701" t="str">
        <f t="shared" si="422"/>
        <v/>
      </c>
      <c r="GC56" s="704" t="str">
        <f t="shared" si="323"/>
        <v/>
      </c>
      <c r="GD56" s="701">
        <f t="shared" si="423"/>
        <v>1</v>
      </c>
      <c r="GE56" s="128">
        <f t="shared" si="324"/>
        <v>0</v>
      </c>
      <c r="GF56" s="701" t="str">
        <f t="shared" si="424"/>
        <v/>
      </c>
      <c r="GG56" s="704" t="str">
        <f t="shared" si="325"/>
        <v/>
      </c>
      <c r="GH56" s="701">
        <f t="shared" si="326"/>
        <v>1</v>
      </c>
      <c r="GI56" s="128">
        <f t="shared" si="327"/>
        <v>0</v>
      </c>
      <c r="GJ56" s="701" t="str">
        <f t="shared" si="425"/>
        <v/>
      </c>
      <c r="GK56" s="704" t="str">
        <f t="shared" si="328"/>
        <v/>
      </c>
      <c r="GL56" s="701">
        <f t="shared" si="329"/>
        <v>1</v>
      </c>
      <c r="GM56" s="128">
        <f t="shared" si="330"/>
        <v>0</v>
      </c>
      <c r="GN56" s="701" t="str">
        <f t="shared" si="426"/>
        <v/>
      </c>
      <c r="GO56" s="704" t="str">
        <f t="shared" si="331"/>
        <v/>
      </c>
      <c r="GP56" s="701">
        <f t="shared" si="332"/>
        <v>1</v>
      </c>
      <c r="GQ56" s="128">
        <f t="shared" si="333"/>
        <v>0</v>
      </c>
      <c r="GR56" s="701" t="str">
        <f t="shared" si="427"/>
        <v/>
      </c>
      <c r="GS56" s="704" t="str">
        <f t="shared" si="334"/>
        <v/>
      </c>
      <c r="GT56" s="701">
        <f t="shared" si="335"/>
        <v>1</v>
      </c>
      <c r="GU56" s="128">
        <f t="shared" si="336"/>
        <v>0</v>
      </c>
      <c r="GV56" s="701" t="str">
        <f t="shared" si="428"/>
        <v/>
      </c>
      <c r="GW56" s="704" t="str">
        <f t="shared" si="337"/>
        <v/>
      </c>
      <c r="GX56" s="701">
        <f t="shared" si="338"/>
        <v>1</v>
      </c>
      <c r="GY56" s="128">
        <f t="shared" si="339"/>
        <v>0</v>
      </c>
      <c r="GZ56" s="701" t="str">
        <f t="shared" si="429"/>
        <v/>
      </c>
      <c r="HA56" s="704" t="str">
        <f t="shared" si="340"/>
        <v/>
      </c>
      <c r="HB56" s="701">
        <f t="shared" si="341"/>
        <v>1</v>
      </c>
      <c r="HC56" s="128">
        <f t="shared" si="342"/>
        <v>0</v>
      </c>
      <c r="HD56" s="701" t="str">
        <f t="shared" si="430"/>
        <v/>
      </c>
      <c r="HE56" s="704" t="str">
        <f t="shared" si="343"/>
        <v/>
      </c>
      <c r="HF56" s="701">
        <f t="shared" si="344"/>
        <v>1</v>
      </c>
      <c r="HG56" s="128">
        <f t="shared" si="345"/>
        <v>0</v>
      </c>
      <c r="HH56" s="701" t="str">
        <f t="shared" si="431"/>
        <v/>
      </c>
      <c r="HI56" s="704" t="str">
        <f t="shared" si="346"/>
        <v/>
      </c>
      <c r="HJ56" s="701">
        <f t="shared" si="347"/>
        <v>1</v>
      </c>
      <c r="HK56" s="128">
        <f t="shared" si="348"/>
        <v>0</v>
      </c>
      <c r="HL56" s="701" t="str">
        <f t="shared" si="432"/>
        <v/>
      </c>
      <c r="HM56" s="704" t="str">
        <f t="shared" si="349"/>
        <v/>
      </c>
      <c r="HN56" s="701">
        <f t="shared" si="350"/>
        <v>1</v>
      </c>
      <c r="HO56" s="128">
        <f t="shared" si="351"/>
        <v>0</v>
      </c>
      <c r="HP56" s="701" t="str">
        <f t="shared" si="433"/>
        <v/>
      </c>
      <c r="HQ56" s="704" t="str">
        <f t="shared" si="352"/>
        <v/>
      </c>
      <c r="HR56" s="701">
        <f t="shared" si="353"/>
        <v>1</v>
      </c>
      <c r="HS56" s="128">
        <f t="shared" si="354"/>
        <v>0</v>
      </c>
      <c r="HT56" s="701" t="str">
        <f t="shared" si="434"/>
        <v/>
      </c>
      <c r="HU56" s="704" t="str">
        <f t="shared" si="355"/>
        <v/>
      </c>
      <c r="HV56" s="701">
        <f t="shared" si="356"/>
        <v>1</v>
      </c>
      <c r="HW56" s="128">
        <f t="shared" si="357"/>
        <v>0</v>
      </c>
      <c r="HX56" s="701" t="str">
        <f t="shared" si="435"/>
        <v/>
      </c>
      <c r="HY56" s="704" t="str">
        <f t="shared" si="358"/>
        <v/>
      </c>
      <c r="HZ56" s="701">
        <f t="shared" si="359"/>
        <v>1</v>
      </c>
      <c r="IA56" s="128">
        <f t="shared" si="360"/>
        <v>0</v>
      </c>
      <c r="IB56" s="701" t="str">
        <f t="shared" si="436"/>
        <v/>
      </c>
      <c r="IC56" s="704" t="str">
        <f t="shared" si="361"/>
        <v/>
      </c>
      <c r="ID56" s="701">
        <f t="shared" si="362"/>
        <v>1</v>
      </c>
      <c r="IE56" s="128">
        <f t="shared" si="363"/>
        <v>0</v>
      </c>
      <c r="IF56" s="701" t="str">
        <f t="shared" si="437"/>
        <v/>
      </c>
      <c r="IG56" s="704" t="str">
        <f t="shared" si="364"/>
        <v/>
      </c>
      <c r="IH56" s="701">
        <f t="shared" si="365"/>
        <v>1</v>
      </c>
      <c r="II56" s="128">
        <f t="shared" si="366"/>
        <v>0</v>
      </c>
      <c r="IJ56" s="701" t="str">
        <f t="shared" si="438"/>
        <v/>
      </c>
      <c r="IK56" s="704" t="str">
        <f t="shared" si="367"/>
        <v/>
      </c>
      <c r="IL56" s="701">
        <f t="shared" si="368"/>
        <v>1</v>
      </c>
      <c r="IM56" s="128">
        <f t="shared" si="369"/>
        <v>0</v>
      </c>
      <c r="IN56" s="701" t="str">
        <f t="shared" si="439"/>
        <v/>
      </c>
      <c r="IO56" s="704" t="str">
        <f t="shared" si="370"/>
        <v/>
      </c>
      <c r="IP56" s="701">
        <f t="shared" si="371"/>
        <v>1</v>
      </c>
      <c r="IQ56" s="128">
        <f t="shared" si="372"/>
        <v>0</v>
      </c>
      <c r="IR56" s="701" t="str">
        <f t="shared" si="440"/>
        <v/>
      </c>
      <c r="IS56" s="704" t="str">
        <f t="shared" si="373"/>
        <v/>
      </c>
      <c r="IT56" s="701">
        <f t="shared" si="374"/>
        <v>1</v>
      </c>
      <c r="IU56" s="128">
        <f t="shared" si="375"/>
        <v>0</v>
      </c>
      <c r="IV56" s="701" t="str">
        <f t="shared" si="441"/>
        <v/>
      </c>
      <c r="IW56" s="704" t="str">
        <f t="shared" si="376"/>
        <v/>
      </c>
      <c r="IX56" s="701">
        <f t="shared" si="377"/>
        <v>1</v>
      </c>
      <c r="IY56" s="128">
        <f t="shared" si="378"/>
        <v>0</v>
      </c>
    </row>
    <row r="57" spans="1:259" s="2" customFormat="1" ht="14.25" customHeight="1" thickTop="1" thickBot="1" x14ac:dyDescent="0.35">
      <c r="D57" s="50"/>
      <c r="E57" s="1"/>
      <c r="G57" s="1"/>
      <c r="I57" s="684" t="str">
        <f t="shared" si="243"/>
        <v/>
      </c>
      <c r="J57" s="685" t="str">
        <f t="shared" si="244"/>
        <v/>
      </c>
      <c r="K57" s="768" t="str">
        <f t="shared" si="248"/>
        <v/>
      </c>
      <c r="L57" s="33"/>
      <c r="M57" s="33"/>
      <c r="P57" s="684" t="str">
        <f t="shared" si="245"/>
        <v/>
      </c>
      <c r="Q57" s="685" t="str">
        <f t="shared" si="246"/>
        <v/>
      </c>
      <c r="R57" s="768" t="str">
        <f t="shared" si="247"/>
        <v/>
      </c>
      <c r="S57" s="33"/>
      <c r="T57" s="804"/>
      <c r="U57" s="804"/>
      <c r="AA57" s="25"/>
      <c r="AB57" s="25"/>
      <c r="AC57" s="1"/>
      <c r="AD57" s="1"/>
      <c r="AE57" s="1"/>
      <c r="AF57" s="1"/>
      <c r="AG57" s="1"/>
      <c r="AH57" s="470"/>
      <c r="AJ57" s="1"/>
      <c r="AK57" s="1"/>
      <c r="AL57" s="1"/>
      <c r="AM57" s="1418" t="s">
        <v>303</v>
      </c>
      <c r="AP57" s="1"/>
      <c r="AT57" s="87" t="str">
        <f>IF($F28="","",IF($F28=$F$25,$AW$25,IF($F28=$F$26,$AW$26,IF($F28=$F$27,$AW$27,IF($F28=$F$29,$AW$29,IF($F28=$F$30,$AW$30,IF($F28=$F$31,$AW$31,"")))))))</f>
        <v/>
      </c>
      <c r="AU57" s="78" t="str">
        <f t="shared" si="249"/>
        <v/>
      </c>
      <c r="AV57" s="78" t="str">
        <f t="shared" si="250"/>
        <v/>
      </c>
      <c r="AW57" s="78" t="str">
        <f t="shared" si="251"/>
        <v/>
      </c>
      <c r="AX57" s="239">
        <f t="shared" si="252"/>
        <v>0</v>
      </c>
      <c r="AY57" s="239" t="str">
        <f t="shared" si="253"/>
        <v/>
      </c>
      <c r="AZ57" s="214" t="str">
        <f t="shared" si="254"/>
        <v/>
      </c>
      <c r="BA57" s="214" t="str">
        <f t="shared" si="255"/>
        <v/>
      </c>
      <c r="BB57" s="214" t="str">
        <f t="shared" si="256"/>
        <v/>
      </c>
      <c r="BC57" s="214" t="str">
        <f t="shared" si="257"/>
        <v/>
      </c>
      <c r="BD57" s="1322">
        <f t="shared" si="379"/>
        <v>4</v>
      </c>
      <c r="BE57" s="1"/>
      <c r="BF57" s="214" t="str">
        <f t="shared" si="258"/>
        <v/>
      </c>
      <c r="BG57" s="94">
        <f t="shared" si="259"/>
        <v>0</v>
      </c>
      <c r="BH57" s="94">
        <f t="shared" si="260"/>
        <v>0</v>
      </c>
      <c r="BI57" s="94">
        <f t="shared" si="261"/>
        <v>0</v>
      </c>
      <c r="BJ57" s="237">
        <f t="shared" si="380"/>
        <v>0</v>
      </c>
      <c r="BK57" s="237">
        <f t="shared" si="262"/>
        <v>0</v>
      </c>
      <c r="BL57" s="237">
        <f t="shared" si="263"/>
        <v>0</v>
      </c>
      <c r="BM57" s="237">
        <f t="shared" si="264"/>
        <v>0</v>
      </c>
      <c r="BN57" s="237">
        <f t="shared" si="265"/>
        <v>0</v>
      </c>
      <c r="BO57" s="237">
        <f t="shared" si="266"/>
        <v>0</v>
      </c>
      <c r="BP57" s="237">
        <f t="shared" si="267"/>
        <v>0</v>
      </c>
      <c r="BQ57" s="237">
        <f t="shared" si="268"/>
        <v>0</v>
      </c>
      <c r="BR57" s="237">
        <f t="shared" si="269"/>
        <v>0</v>
      </c>
      <c r="BS57" s="237">
        <f t="shared" si="270"/>
        <v>0</v>
      </c>
      <c r="BT57" s="237">
        <f t="shared" si="381"/>
        <v>0</v>
      </c>
      <c r="BU57" s="237">
        <f t="shared" si="382"/>
        <v>0</v>
      </c>
      <c r="BV57" s="237">
        <f t="shared" si="383"/>
        <v>0</v>
      </c>
      <c r="BW57" s="237">
        <f t="shared" si="384"/>
        <v>0</v>
      </c>
      <c r="BX57" s="237">
        <f t="shared" si="385"/>
        <v>0</v>
      </c>
      <c r="BY57" s="237">
        <f t="shared" si="386"/>
        <v>0</v>
      </c>
      <c r="BZ57" s="237">
        <f t="shared" si="387"/>
        <v>0</v>
      </c>
      <c r="CA57" s="237">
        <f t="shared" si="388"/>
        <v>0</v>
      </c>
      <c r="CB57" s="237">
        <f t="shared" si="389"/>
        <v>0</v>
      </c>
      <c r="CC57" s="237">
        <f t="shared" si="390"/>
        <v>0</v>
      </c>
      <c r="CD57" s="237">
        <f t="shared" si="391"/>
        <v>0</v>
      </c>
      <c r="CE57" s="237">
        <f t="shared" si="392"/>
        <v>0</v>
      </c>
      <c r="CF57" s="237">
        <f t="shared" si="393"/>
        <v>0</v>
      </c>
      <c r="CG57" s="237">
        <f t="shared" si="394"/>
        <v>0</v>
      </c>
      <c r="CH57" s="237">
        <f t="shared" si="395"/>
        <v>0</v>
      </c>
      <c r="CI57" s="3"/>
      <c r="CJ57" s="3"/>
      <c r="CK57" s="1"/>
      <c r="CL57" s="1"/>
      <c r="CM57" s="1"/>
      <c r="CN57" s="1"/>
      <c r="CO57" s="1"/>
      <c r="CP57" s="1"/>
      <c r="CQ57" s="1"/>
      <c r="CR57" s="524">
        <f t="shared" si="396"/>
        <v>0</v>
      </c>
      <c r="CT57" s="495" t="str">
        <f t="shared" si="397"/>
        <v/>
      </c>
      <c r="CU57" s="496" t="str">
        <f t="shared" si="398"/>
        <v/>
      </c>
      <c r="CV57" s="496" t="str">
        <f t="shared" si="399"/>
        <v/>
      </c>
      <c r="CW57" s="1"/>
      <c r="CX57" s="1026" t="str">
        <f t="shared" si="271"/>
        <v/>
      </c>
      <c r="CY57" s="1026" t="str">
        <f t="shared" si="272"/>
        <v/>
      </c>
      <c r="CZ57" s="1473" t="str">
        <f t="shared" si="273"/>
        <v/>
      </c>
      <c r="DA57" s="1473" t="str">
        <f t="shared" si="274"/>
        <v/>
      </c>
      <c r="DB57" s="1474" t="str">
        <f t="shared" si="275"/>
        <v/>
      </c>
      <c r="DC57" s="1474" t="str">
        <f t="shared" si="276"/>
        <v/>
      </c>
      <c r="DD57" s="1473" t="str">
        <f t="shared" si="400"/>
        <v/>
      </c>
      <c r="DE57" s="1473" t="str">
        <f t="shared" si="401"/>
        <v/>
      </c>
      <c r="DF57" s="1476" t="str">
        <f t="shared" si="277"/>
        <v/>
      </c>
      <c r="DG57" s="1476" t="str">
        <f t="shared" si="278"/>
        <v/>
      </c>
      <c r="DJ57" s="93" t="str">
        <f t="shared" si="402"/>
        <v/>
      </c>
      <c r="DK57" s="93" t="str">
        <f t="shared" si="403"/>
        <v/>
      </c>
      <c r="DL57" s="93">
        <f t="shared" si="404"/>
        <v>0</v>
      </c>
      <c r="DM57" s="93" t="str">
        <f t="shared" si="279"/>
        <v/>
      </c>
      <c r="DN57" s="33">
        <v>4</v>
      </c>
      <c r="DO57" s="93" t="str">
        <f t="shared" si="280"/>
        <v/>
      </c>
      <c r="DP57" s="1"/>
      <c r="DQ57" s="33">
        <v>4</v>
      </c>
      <c r="DR57" s="1486" t="str">
        <f t="shared" si="405"/>
        <v/>
      </c>
      <c r="DS57" s="144" t="str">
        <f t="shared" si="281"/>
        <v/>
      </c>
      <c r="DT57" s="144" t="str">
        <f t="shared" si="282"/>
        <v/>
      </c>
      <c r="DU57" s="144" t="str">
        <f t="shared" si="283"/>
        <v/>
      </c>
      <c r="DV57" s="144" t="str">
        <f t="shared" si="284"/>
        <v/>
      </c>
      <c r="DW57" s="144" t="str">
        <f t="shared" si="285"/>
        <v/>
      </c>
      <c r="DX57" s="144" t="str">
        <f t="shared" si="286"/>
        <v/>
      </c>
      <c r="DY57" s="144" t="str">
        <f t="shared" si="287"/>
        <v/>
      </c>
      <c r="DZ57" s="144" t="str">
        <f t="shared" si="288"/>
        <v/>
      </c>
      <c r="EA57" s="144" t="str">
        <f t="shared" si="289"/>
        <v/>
      </c>
      <c r="EB57" s="144" t="str">
        <f t="shared" si="290"/>
        <v/>
      </c>
      <c r="EC57" s="144" t="str">
        <f t="shared" si="291"/>
        <v/>
      </c>
      <c r="ED57" s="144" t="str">
        <f t="shared" si="292"/>
        <v/>
      </c>
      <c r="EE57" s="144" t="str">
        <f t="shared" si="293"/>
        <v/>
      </c>
      <c r="EF57" s="144" t="str">
        <f t="shared" si="294"/>
        <v/>
      </c>
      <c r="EG57" s="144" t="str">
        <f t="shared" si="295"/>
        <v/>
      </c>
      <c r="EH57" s="144" t="str">
        <f t="shared" si="296"/>
        <v/>
      </c>
      <c r="EI57" s="144" t="str">
        <f t="shared" si="297"/>
        <v/>
      </c>
      <c r="EJ57" s="144" t="str">
        <f t="shared" si="298"/>
        <v/>
      </c>
      <c r="EK57" s="144" t="str">
        <f t="shared" si="299"/>
        <v/>
      </c>
      <c r="EL57" s="144" t="str">
        <f t="shared" si="300"/>
        <v/>
      </c>
      <c r="EM57" s="144" t="str">
        <f t="shared" si="301"/>
        <v/>
      </c>
      <c r="EN57" s="720" t="str">
        <f t="shared" si="302"/>
        <v/>
      </c>
      <c r="EO57" s="720" t="str">
        <f t="shared" si="303"/>
        <v/>
      </c>
      <c r="EP57" s="720" t="str">
        <f t="shared" si="304"/>
        <v/>
      </c>
      <c r="EQ57" s="720" t="str">
        <f t="shared" si="305"/>
        <v/>
      </c>
      <c r="ER57" s="720" t="str">
        <f t="shared" si="306"/>
        <v/>
      </c>
      <c r="ES57" s="1460">
        <f t="shared" si="406"/>
        <v>0</v>
      </c>
      <c r="ET57" s="201">
        <f t="shared" si="407"/>
        <v>26</v>
      </c>
      <c r="EU57" s="137" t="str">
        <f t="shared" si="408"/>
        <v/>
      </c>
      <c r="EV57" s="290" t="str">
        <f t="shared" si="307"/>
        <v/>
      </c>
      <c r="EW57" s="290" t="str">
        <f t="shared" si="308"/>
        <v/>
      </c>
      <c r="EX57" s="725" t="str">
        <f t="shared" si="309"/>
        <v/>
      </c>
      <c r="EY57" s="1322">
        <f t="shared" si="310"/>
        <v>0</v>
      </c>
      <c r="EZ57" s="201">
        <f t="shared" si="409"/>
        <v>25</v>
      </c>
      <c r="FA57" s="1467" t="str">
        <f t="shared" si="410"/>
        <v/>
      </c>
      <c r="FB57" s="216" t="str">
        <f t="shared" si="411"/>
        <v/>
      </c>
      <c r="FC57" s="795" t="str" cm="1">
        <f t="array" ref="FC57">IF($FB57="","",INDEX($H$25:$H$49,$DN28))</f>
        <v/>
      </c>
      <c r="FD57" s="234" t="str">
        <f t="shared" si="412"/>
        <v/>
      </c>
      <c r="FE57" s="90">
        <f t="shared" si="311"/>
        <v>0</v>
      </c>
      <c r="FF57" s="711" t="str">
        <f t="shared" si="413"/>
        <v/>
      </c>
      <c r="FG57" s="712" t="str">
        <f t="shared" si="413"/>
        <v/>
      </c>
      <c r="FH57" s="701" t="str">
        <f t="shared" si="442"/>
        <v/>
      </c>
      <c r="FI57" s="704" t="str">
        <f t="shared" si="312"/>
        <v/>
      </c>
      <c r="FJ57" s="701">
        <f t="shared" si="313"/>
        <v>1</v>
      </c>
      <c r="FK57" s="128">
        <f t="shared" si="414"/>
        <v>0</v>
      </c>
      <c r="FL57" s="701" t="str">
        <f t="shared" si="415"/>
        <v/>
      </c>
      <c r="FM57" s="704" t="str">
        <f t="shared" si="314"/>
        <v/>
      </c>
      <c r="FN57" s="701">
        <f t="shared" si="315"/>
        <v>1</v>
      </c>
      <c r="FO57" s="128">
        <f t="shared" si="316"/>
        <v>0</v>
      </c>
      <c r="FP57" s="701" t="str">
        <f t="shared" si="416"/>
        <v/>
      </c>
      <c r="FQ57" s="704" t="str">
        <f t="shared" si="317"/>
        <v/>
      </c>
      <c r="FR57" s="701">
        <f t="shared" si="417"/>
        <v>1</v>
      </c>
      <c r="FS57" s="128">
        <f t="shared" si="318"/>
        <v>0</v>
      </c>
      <c r="FT57" s="701" t="str">
        <f t="shared" si="418"/>
        <v/>
      </c>
      <c r="FU57" s="704" t="str">
        <f t="shared" si="319"/>
        <v/>
      </c>
      <c r="FV57" s="701">
        <f t="shared" si="419"/>
        <v>1</v>
      </c>
      <c r="FW57" s="128">
        <f t="shared" si="320"/>
        <v>0</v>
      </c>
      <c r="FX57" s="701" t="str">
        <f t="shared" si="420"/>
        <v/>
      </c>
      <c r="FY57" s="704" t="str">
        <f t="shared" si="321"/>
        <v/>
      </c>
      <c r="FZ57" s="701">
        <f t="shared" si="421"/>
        <v>1</v>
      </c>
      <c r="GA57" s="128">
        <f t="shared" si="322"/>
        <v>0</v>
      </c>
      <c r="GB57" s="701" t="str">
        <f t="shared" si="422"/>
        <v/>
      </c>
      <c r="GC57" s="704" t="str">
        <f t="shared" si="323"/>
        <v/>
      </c>
      <c r="GD57" s="701">
        <f t="shared" si="423"/>
        <v>1</v>
      </c>
      <c r="GE57" s="128">
        <f t="shared" si="324"/>
        <v>0</v>
      </c>
      <c r="GF57" s="701" t="str">
        <f t="shared" si="424"/>
        <v/>
      </c>
      <c r="GG57" s="704" t="str">
        <f t="shared" si="325"/>
        <v/>
      </c>
      <c r="GH57" s="701">
        <f t="shared" si="326"/>
        <v>1</v>
      </c>
      <c r="GI57" s="128">
        <f t="shared" si="327"/>
        <v>0</v>
      </c>
      <c r="GJ57" s="701" t="str">
        <f t="shared" si="425"/>
        <v/>
      </c>
      <c r="GK57" s="704" t="str">
        <f t="shared" si="328"/>
        <v/>
      </c>
      <c r="GL57" s="701">
        <f t="shared" si="329"/>
        <v>1</v>
      </c>
      <c r="GM57" s="128">
        <f t="shared" si="330"/>
        <v>0</v>
      </c>
      <c r="GN57" s="701" t="str">
        <f t="shared" si="426"/>
        <v/>
      </c>
      <c r="GO57" s="704" t="str">
        <f t="shared" si="331"/>
        <v/>
      </c>
      <c r="GP57" s="701">
        <f t="shared" si="332"/>
        <v>1</v>
      </c>
      <c r="GQ57" s="128">
        <f t="shared" si="333"/>
        <v>0</v>
      </c>
      <c r="GR57" s="701" t="str">
        <f t="shared" si="427"/>
        <v/>
      </c>
      <c r="GS57" s="704" t="str">
        <f t="shared" si="334"/>
        <v/>
      </c>
      <c r="GT57" s="701">
        <f t="shared" si="335"/>
        <v>1</v>
      </c>
      <c r="GU57" s="128">
        <f t="shared" si="336"/>
        <v>0</v>
      </c>
      <c r="GV57" s="701" t="str">
        <f t="shared" si="428"/>
        <v/>
      </c>
      <c r="GW57" s="704" t="str">
        <f t="shared" si="337"/>
        <v/>
      </c>
      <c r="GX57" s="701">
        <f t="shared" si="338"/>
        <v>1</v>
      </c>
      <c r="GY57" s="128">
        <f t="shared" si="339"/>
        <v>0</v>
      </c>
      <c r="GZ57" s="701" t="str">
        <f t="shared" si="429"/>
        <v/>
      </c>
      <c r="HA57" s="704" t="str">
        <f t="shared" si="340"/>
        <v/>
      </c>
      <c r="HB57" s="701">
        <f t="shared" si="341"/>
        <v>1</v>
      </c>
      <c r="HC57" s="128">
        <f t="shared" si="342"/>
        <v>0</v>
      </c>
      <c r="HD57" s="701" t="str">
        <f t="shared" si="430"/>
        <v/>
      </c>
      <c r="HE57" s="704" t="str">
        <f t="shared" si="343"/>
        <v/>
      </c>
      <c r="HF57" s="701">
        <f t="shared" si="344"/>
        <v>1</v>
      </c>
      <c r="HG57" s="128">
        <f t="shared" si="345"/>
        <v>0</v>
      </c>
      <c r="HH57" s="701" t="str">
        <f t="shared" si="431"/>
        <v/>
      </c>
      <c r="HI57" s="704" t="str">
        <f t="shared" si="346"/>
        <v/>
      </c>
      <c r="HJ57" s="701">
        <f t="shared" si="347"/>
        <v>1</v>
      </c>
      <c r="HK57" s="128">
        <f t="shared" si="348"/>
        <v>0</v>
      </c>
      <c r="HL57" s="701" t="str">
        <f t="shared" si="432"/>
        <v/>
      </c>
      <c r="HM57" s="704" t="str">
        <f t="shared" si="349"/>
        <v/>
      </c>
      <c r="HN57" s="701">
        <f t="shared" si="350"/>
        <v>1</v>
      </c>
      <c r="HO57" s="128">
        <f t="shared" si="351"/>
        <v>0</v>
      </c>
      <c r="HP57" s="701" t="str">
        <f t="shared" si="433"/>
        <v/>
      </c>
      <c r="HQ57" s="704" t="str">
        <f t="shared" si="352"/>
        <v/>
      </c>
      <c r="HR57" s="701">
        <f t="shared" si="353"/>
        <v>1</v>
      </c>
      <c r="HS57" s="128">
        <f t="shared" si="354"/>
        <v>0</v>
      </c>
      <c r="HT57" s="701" t="str">
        <f t="shared" si="434"/>
        <v/>
      </c>
      <c r="HU57" s="704" t="str">
        <f t="shared" si="355"/>
        <v/>
      </c>
      <c r="HV57" s="701">
        <f t="shared" si="356"/>
        <v>1</v>
      </c>
      <c r="HW57" s="128">
        <f t="shared" si="357"/>
        <v>0</v>
      </c>
      <c r="HX57" s="701" t="str">
        <f t="shared" si="435"/>
        <v/>
      </c>
      <c r="HY57" s="704" t="str">
        <f t="shared" si="358"/>
        <v/>
      </c>
      <c r="HZ57" s="701">
        <f t="shared" si="359"/>
        <v>1</v>
      </c>
      <c r="IA57" s="128">
        <f t="shared" si="360"/>
        <v>0</v>
      </c>
      <c r="IB57" s="701" t="str">
        <f t="shared" si="436"/>
        <v/>
      </c>
      <c r="IC57" s="704" t="str">
        <f t="shared" si="361"/>
        <v/>
      </c>
      <c r="ID57" s="701">
        <f t="shared" si="362"/>
        <v>1</v>
      </c>
      <c r="IE57" s="128">
        <f t="shared" si="363"/>
        <v>0</v>
      </c>
      <c r="IF57" s="701" t="str">
        <f t="shared" si="437"/>
        <v/>
      </c>
      <c r="IG57" s="704" t="str">
        <f t="shared" si="364"/>
        <v/>
      </c>
      <c r="IH57" s="701">
        <f t="shared" si="365"/>
        <v>1</v>
      </c>
      <c r="II57" s="128">
        <f t="shared" si="366"/>
        <v>0</v>
      </c>
      <c r="IJ57" s="701" t="str">
        <f t="shared" si="438"/>
        <v/>
      </c>
      <c r="IK57" s="704" t="str">
        <f t="shared" si="367"/>
        <v/>
      </c>
      <c r="IL57" s="701">
        <f t="shared" si="368"/>
        <v>1</v>
      </c>
      <c r="IM57" s="128">
        <f t="shared" si="369"/>
        <v>0</v>
      </c>
      <c r="IN57" s="701" t="str">
        <f t="shared" si="439"/>
        <v/>
      </c>
      <c r="IO57" s="704" t="str">
        <f t="shared" si="370"/>
        <v/>
      </c>
      <c r="IP57" s="701">
        <f t="shared" si="371"/>
        <v>1</v>
      </c>
      <c r="IQ57" s="128">
        <f t="shared" si="372"/>
        <v>0</v>
      </c>
      <c r="IR57" s="701" t="str">
        <f t="shared" si="440"/>
        <v/>
      </c>
      <c r="IS57" s="704" t="str">
        <f t="shared" si="373"/>
        <v/>
      </c>
      <c r="IT57" s="701">
        <f t="shared" si="374"/>
        <v>1</v>
      </c>
      <c r="IU57" s="128">
        <f t="shared" si="375"/>
        <v>0</v>
      </c>
      <c r="IV57" s="701" t="str">
        <f t="shared" si="441"/>
        <v/>
      </c>
      <c r="IW57" s="704" t="str">
        <f t="shared" si="376"/>
        <v/>
      </c>
      <c r="IX57" s="701">
        <f t="shared" si="377"/>
        <v>1</v>
      </c>
      <c r="IY57" s="128">
        <f t="shared" si="378"/>
        <v>0</v>
      </c>
    </row>
    <row r="58" spans="1:259" s="2" customFormat="1" ht="5.25" customHeight="1" thickTop="1" thickBot="1" x14ac:dyDescent="0.35">
      <c r="D58" s="50"/>
      <c r="E58" s="1"/>
      <c r="G58" s="1"/>
      <c r="H58" s="1"/>
      <c r="I58" s="1"/>
      <c r="J58" s="1"/>
      <c r="R58" s="46"/>
      <c r="S58" s="1"/>
      <c r="T58" s="178"/>
      <c r="U58" s="1"/>
      <c r="V58" s="1"/>
      <c r="W58" s="1"/>
      <c r="X58" s="1"/>
      <c r="Y58" s="1"/>
      <c r="Z58" s="47"/>
      <c r="AB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T58" s="87" t="str">
        <f>IF($F29="","",IF($F29=$F$25,$AW$25,IF($F29=$F$26,$AW$26,IF($F29=$F$27,$AW$27,IF($F29=$F$28,$AW$28,IF($F29=$F$30,$AW$30,IF($F29=$F$31,$AW$31,"")))))))</f>
        <v/>
      </c>
      <c r="AU58" s="78" t="str">
        <f t="shared" si="249"/>
        <v/>
      </c>
      <c r="AV58" s="78" t="str">
        <f t="shared" si="250"/>
        <v/>
      </c>
      <c r="AW58" s="78" t="str">
        <f t="shared" si="251"/>
        <v/>
      </c>
      <c r="AX58" s="239">
        <f t="shared" si="252"/>
        <v>0</v>
      </c>
      <c r="AY58" s="239" t="str">
        <f t="shared" si="253"/>
        <v/>
      </c>
      <c r="AZ58" s="214" t="str">
        <f t="shared" si="254"/>
        <v/>
      </c>
      <c r="BA58" s="214" t="str">
        <f t="shared" si="255"/>
        <v/>
      </c>
      <c r="BB58" s="214" t="str">
        <f t="shared" si="256"/>
        <v/>
      </c>
      <c r="BC58" s="214" t="str">
        <f t="shared" si="257"/>
        <v/>
      </c>
      <c r="BD58" s="1322">
        <f t="shared" si="379"/>
        <v>5</v>
      </c>
      <c r="BE58" s="1"/>
      <c r="BF58" s="214" t="str">
        <f t="shared" si="258"/>
        <v/>
      </c>
      <c r="BG58" s="94">
        <f t="shared" si="259"/>
        <v>0</v>
      </c>
      <c r="BH58" s="94">
        <f t="shared" si="260"/>
        <v>0</v>
      </c>
      <c r="BI58" s="94">
        <f t="shared" si="261"/>
        <v>0</v>
      </c>
      <c r="BJ58" s="237">
        <f t="shared" si="380"/>
        <v>0</v>
      </c>
      <c r="BK58" s="237">
        <f t="shared" si="262"/>
        <v>0</v>
      </c>
      <c r="BL58" s="237">
        <f t="shared" si="263"/>
        <v>0</v>
      </c>
      <c r="BM58" s="237">
        <f t="shared" si="264"/>
        <v>0</v>
      </c>
      <c r="BN58" s="237">
        <f t="shared" si="265"/>
        <v>0</v>
      </c>
      <c r="BO58" s="237">
        <f t="shared" si="266"/>
        <v>0</v>
      </c>
      <c r="BP58" s="237">
        <f t="shared" si="267"/>
        <v>0</v>
      </c>
      <c r="BQ58" s="237">
        <f t="shared" si="268"/>
        <v>0</v>
      </c>
      <c r="BR58" s="237">
        <f t="shared" si="269"/>
        <v>0</v>
      </c>
      <c r="BS58" s="237">
        <f t="shared" si="270"/>
        <v>0</v>
      </c>
      <c r="BT58" s="237">
        <f t="shared" si="381"/>
        <v>0</v>
      </c>
      <c r="BU58" s="237">
        <f t="shared" si="382"/>
        <v>0</v>
      </c>
      <c r="BV58" s="237">
        <f t="shared" si="383"/>
        <v>0</v>
      </c>
      <c r="BW58" s="237">
        <f t="shared" si="384"/>
        <v>0</v>
      </c>
      <c r="BX58" s="237">
        <f t="shared" si="385"/>
        <v>0</v>
      </c>
      <c r="BY58" s="237">
        <f t="shared" si="386"/>
        <v>0</v>
      </c>
      <c r="BZ58" s="237">
        <f t="shared" si="387"/>
        <v>0</v>
      </c>
      <c r="CA58" s="237">
        <f t="shared" si="388"/>
        <v>0</v>
      </c>
      <c r="CB58" s="237">
        <f t="shared" si="389"/>
        <v>0</v>
      </c>
      <c r="CC58" s="237">
        <f t="shared" si="390"/>
        <v>0</v>
      </c>
      <c r="CD58" s="237">
        <f t="shared" si="391"/>
        <v>0</v>
      </c>
      <c r="CE58" s="237">
        <f t="shared" si="392"/>
        <v>0</v>
      </c>
      <c r="CF58" s="237">
        <f t="shared" si="393"/>
        <v>0</v>
      </c>
      <c r="CG58" s="237">
        <f t="shared" si="394"/>
        <v>0</v>
      </c>
      <c r="CH58" s="237">
        <f t="shared" si="395"/>
        <v>0</v>
      </c>
      <c r="CI58" s="3"/>
      <c r="CJ58" s="3"/>
      <c r="CK58" s="1"/>
      <c r="CL58" s="1"/>
      <c r="CM58" s="1"/>
      <c r="CN58" s="1"/>
      <c r="CO58" s="1"/>
      <c r="CP58" s="1"/>
      <c r="CQ58" s="1"/>
      <c r="CR58" s="524">
        <f t="shared" si="396"/>
        <v>0</v>
      </c>
      <c r="CT58" s="495" t="str">
        <f t="shared" si="397"/>
        <v/>
      </c>
      <c r="CU58" s="496" t="str">
        <f t="shared" si="398"/>
        <v/>
      </c>
      <c r="CV58" s="496" t="str">
        <f t="shared" si="399"/>
        <v/>
      </c>
      <c r="CW58" s="1"/>
      <c r="CX58" s="1026" t="str">
        <f t="shared" si="271"/>
        <v/>
      </c>
      <c r="CY58" s="1026" t="str">
        <f t="shared" si="272"/>
        <v/>
      </c>
      <c r="CZ58" s="1473" t="str">
        <f t="shared" si="273"/>
        <v/>
      </c>
      <c r="DA58" s="1473" t="str">
        <f t="shared" si="274"/>
        <v/>
      </c>
      <c r="DB58" s="1474" t="str">
        <f t="shared" si="275"/>
        <v/>
      </c>
      <c r="DC58" s="1474" t="str">
        <f t="shared" si="276"/>
        <v/>
      </c>
      <c r="DD58" s="1473" t="str">
        <f t="shared" si="400"/>
        <v/>
      </c>
      <c r="DE58" s="1473" t="str">
        <f t="shared" si="401"/>
        <v/>
      </c>
      <c r="DF58" s="1476" t="str">
        <f t="shared" si="277"/>
        <v/>
      </c>
      <c r="DG58" s="1476" t="str">
        <f t="shared" si="278"/>
        <v/>
      </c>
      <c r="DJ58" s="93" t="str">
        <f t="shared" si="402"/>
        <v/>
      </c>
      <c r="DK58" s="93" t="str">
        <f t="shared" si="403"/>
        <v/>
      </c>
      <c r="DL58" s="93">
        <f t="shared" si="404"/>
        <v>0</v>
      </c>
      <c r="DM58" s="93" t="str">
        <f t="shared" si="279"/>
        <v/>
      </c>
      <c r="DN58" s="33">
        <v>5</v>
      </c>
      <c r="DO58" s="93" t="str">
        <f t="shared" si="280"/>
        <v/>
      </c>
      <c r="DP58" s="1"/>
      <c r="DQ58" s="33">
        <v>5</v>
      </c>
      <c r="DR58" s="1486" t="str">
        <f t="shared" si="405"/>
        <v/>
      </c>
      <c r="DS58" s="144" t="str">
        <f t="shared" si="281"/>
        <v/>
      </c>
      <c r="DT58" s="144" t="str">
        <f t="shared" si="282"/>
        <v/>
      </c>
      <c r="DU58" s="144" t="str">
        <f t="shared" si="283"/>
        <v/>
      </c>
      <c r="DV58" s="144" t="str">
        <f t="shared" si="284"/>
        <v/>
      </c>
      <c r="DW58" s="144" t="str">
        <f t="shared" si="285"/>
        <v/>
      </c>
      <c r="DX58" s="144" t="str">
        <f t="shared" si="286"/>
        <v/>
      </c>
      <c r="DY58" s="144" t="str">
        <f t="shared" si="287"/>
        <v/>
      </c>
      <c r="DZ58" s="144" t="str">
        <f t="shared" si="288"/>
        <v/>
      </c>
      <c r="EA58" s="144" t="str">
        <f t="shared" si="289"/>
        <v/>
      </c>
      <c r="EB58" s="144" t="str">
        <f t="shared" si="290"/>
        <v/>
      </c>
      <c r="EC58" s="144" t="str">
        <f t="shared" si="291"/>
        <v/>
      </c>
      <c r="ED58" s="144" t="str">
        <f t="shared" si="292"/>
        <v/>
      </c>
      <c r="EE58" s="144" t="str">
        <f t="shared" si="293"/>
        <v/>
      </c>
      <c r="EF58" s="144" t="str">
        <f t="shared" si="294"/>
        <v/>
      </c>
      <c r="EG58" s="144" t="str">
        <f t="shared" si="295"/>
        <v/>
      </c>
      <c r="EH58" s="144" t="str">
        <f t="shared" si="296"/>
        <v/>
      </c>
      <c r="EI58" s="144" t="str">
        <f t="shared" si="297"/>
        <v/>
      </c>
      <c r="EJ58" s="144" t="str">
        <f t="shared" si="298"/>
        <v/>
      </c>
      <c r="EK58" s="144" t="str">
        <f t="shared" si="299"/>
        <v/>
      </c>
      <c r="EL58" s="144" t="str">
        <f t="shared" si="300"/>
        <v/>
      </c>
      <c r="EM58" s="144" t="str">
        <f t="shared" si="301"/>
        <v/>
      </c>
      <c r="EN58" s="720" t="str">
        <f t="shared" si="302"/>
        <v/>
      </c>
      <c r="EO58" s="720" t="str">
        <f t="shared" si="303"/>
        <v/>
      </c>
      <c r="EP58" s="720" t="str">
        <f t="shared" si="304"/>
        <v/>
      </c>
      <c r="EQ58" s="720" t="str">
        <f t="shared" si="305"/>
        <v/>
      </c>
      <c r="ER58" s="720" t="str">
        <f t="shared" si="306"/>
        <v/>
      </c>
      <c r="ES58" s="1460">
        <f t="shared" si="406"/>
        <v>0</v>
      </c>
      <c r="ET58" s="201">
        <f t="shared" si="407"/>
        <v>26</v>
      </c>
      <c r="EU58" s="137" t="str">
        <f t="shared" si="408"/>
        <v/>
      </c>
      <c r="EV58" s="290" t="str">
        <f t="shared" si="307"/>
        <v/>
      </c>
      <c r="EW58" s="290" t="str">
        <f t="shared" si="308"/>
        <v/>
      </c>
      <c r="EX58" s="725" t="str">
        <f t="shared" si="309"/>
        <v/>
      </c>
      <c r="EY58" s="1322">
        <f t="shared" si="310"/>
        <v>0</v>
      </c>
      <c r="EZ58" s="201">
        <f t="shared" si="409"/>
        <v>25</v>
      </c>
      <c r="FA58" s="1467" t="str">
        <f t="shared" si="410"/>
        <v/>
      </c>
      <c r="FB58" s="216" t="str">
        <f t="shared" si="411"/>
        <v/>
      </c>
      <c r="FC58" s="795" t="str" cm="1">
        <f t="array" ref="FC58">IF($FB58="","",INDEX($H$25:$H$49,$DN29))</f>
        <v/>
      </c>
      <c r="FD58" s="234" t="str">
        <f t="shared" si="412"/>
        <v/>
      </c>
      <c r="FE58" s="90">
        <f t="shared" si="311"/>
        <v>0</v>
      </c>
      <c r="FF58" s="711" t="str">
        <f t="shared" si="413"/>
        <v/>
      </c>
      <c r="FG58" s="712" t="str">
        <f t="shared" si="413"/>
        <v/>
      </c>
      <c r="FH58" s="701" t="str">
        <f t="shared" si="442"/>
        <v/>
      </c>
      <c r="FI58" s="704" t="str">
        <f t="shared" si="312"/>
        <v/>
      </c>
      <c r="FJ58" s="701">
        <f t="shared" si="313"/>
        <v>1</v>
      </c>
      <c r="FK58" s="128">
        <f t="shared" si="414"/>
        <v>0</v>
      </c>
      <c r="FL58" s="701" t="str">
        <f t="shared" si="415"/>
        <v/>
      </c>
      <c r="FM58" s="704" t="str">
        <f t="shared" si="314"/>
        <v/>
      </c>
      <c r="FN58" s="701">
        <f t="shared" si="315"/>
        <v>1</v>
      </c>
      <c r="FO58" s="128">
        <f t="shared" si="316"/>
        <v>0</v>
      </c>
      <c r="FP58" s="701" t="str">
        <f t="shared" si="416"/>
        <v/>
      </c>
      <c r="FQ58" s="704" t="str">
        <f t="shared" si="317"/>
        <v/>
      </c>
      <c r="FR58" s="701">
        <f t="shared" si="417"/>
        <v>1</v>
      </c>
      <c r="FS58" s="128">
        <f t="shared" si="318"/>
        <v>0</v>
      </c>
      <c r="FT58" s="701" t="str">
        <f t="shared" si="418"/>
        <v/>
      </c>
      <c r="FU58" s="704" t="str">
        <f t="shared" si="319"/>
        <v/>
      </c>
      <c r="FV58" s="701">
        <f t="shared" si="419"/>
        <v>1</v>
      </c>
      <c r="FW58" s="128">
        <f t="shared" si="320"/>
        <v>0</v>
      </c>
      <c r="FX58" s="701" t="str">
        <f t="shared" si="420"/>
        <v/>
      </c>
      <c r="FY58" s="704" t="str">
        <f t="shared" si="321"/>
        <v/>
      </c>
      <c r="FZ58" s="701">
        <f t="shared" si="421"/>
        <v>1</v>
      </c>
      <c r="GA58" s="128">
        <f t="shared" si="322"/>
        <v>0</v>
      </c>
      <c r="GB58" s="701" t="str">
        <f t="shared" si="422"/>
        <v/>
      </c>
      <c r="GC58" s="704" t="str">
        <f t="shared" si="323"/>
        <v/>
      </c>
      <c r="GD58" s="701">
        <f t="shared" si="423"/>
        <v>1</v>
      </c>
      <c r="GE58" s="128">
        <f t="shared" si="324"/>
        <v>0</v>
      </c>
      <c r="GF58" s="701" t="str">
        <f t="shared" si="424"/>
        <v/>
      </c>
      <c r="GG58" s="704" t="str">
        <f t="shared" si="325"/>
        <v/>
      </c>
      <c r="GH58" s="701">
        <f t="shared" si="326"/>
        <v>1</v>
      </c>
      <c r="GI58" s="128">
        <f t="shared" si="327"/>
        <v>0</v>
      </c>
      <c r="GJ58" s="701" t="str">
        <f t="shared" si="425"/>
        <v/>
      </c>
      <c r="GK58" s="704" t="str">
        <f t="shared" si="328"/>
        <v/>
      </c>
      <c r="GL58" s="701">
        <f t="shared" si="329"/>
        <v>1</v>
      </c>
      <c r="GM58" s="128">
        <f t="shared" si="330"/>
        <v>0</v>
      </c>
      <c r="GN58" s="701" t="str">
        <f t="shared" si="426"/>
        <v/>
      </c>
      <c r="GO58" s="704" t="str">
        <f t="shared" si="331"/>
        <v/>
      </c>
      <c r="GP58" s="701">
        <f t="shared" si="332"/>
        <v>1</v>
      </c>
      <c r="GQ58" s="128">
        <f t="shared" si="333"/>
        <v>0</v>
      </c>
      <c r="GR58" s="701" t="str">
        <f t="shared" si="427"/>
        <v/>
      </c>
      <c r="GS58" s="704" t="str">
        <f t="shared" si="334"/>
        <v/>
      </c>
      <c r="GT58" s="701">
        <f t="shared" si="335"/>
        <v>1</v>
      </c>
      <c r="GU58" s="128">
        <f t="shared" si="336"/>
        <v>0</v>
      </c>
      <c r="GV58" s="701" t="str">
        <f t="shared" si="428"/>
        <v/>
      </c>
      <c r="GW58" s="704" t="str">
        <f t="shared" si="337"/>
        <v/>
      </c>
      <c r="GX58" s="701">
        <f t="shared" si="338"/>
        <v>1</v>
      </c>
      <c r="GY58" s="128">
        <f t="shared" si="339"/>
        <v>0</v>
      </c>
      <c r="GZ58" s="701" t="str">
        <f t="shared" si="429"/>
        <v/>
      </c>
      <c r="HA58" s="704" t="str">
        <f t="shared" si="340"/>
        <v/>
      </c>
      <c r="HB58" s="701">
        <f t="shared" si="341"/>
        <v>1</v>
      </c>
      <c r="HC58" s="128">
        <f t="shared" si="342"/>
        <v>0</v>
      </c>
      <c r="HD58" s="701" t="str">
        <f t="shared" si="430"/>
        <v/>
      </c>
      <c r="HE58" s="704" t="str">
        <f t="shared" si="343"/>
        <v/>
      </c>
      <c r="HF58" s="701">
        <f t="shared" si="344"/>
        <v>1</v>
      </c>
      <c r="HG58" s="128">
        <f t="shared" si="345"/>
        <v>0</v>
      </c>
      <c r="HH58" s="701" t="str">
        <f t="shared" si="431"/>
        <v/>
      </c>
      <c r="HI58" s="704" t="str">
        <f t="shared" si="346"/>
        <v/>
      </c>
      <c r="HJ58" s="701">
        <f t="shared" si="347"/>
        <v>1</v>
      </c>
      <c r="HK58" s="128">
        <f t="shared" si="348"/>
        <v>0</v>
      </c>
      <c r="HL58" s="701" t="str">
        <f t="shared" si="432"/>
        <v/>
      </c>
      <c r="HM58" s="704" t="str">
        <f t="shared" si="349"/>
        <v/>
      </c>
      <c r="HN58" s="701">
        <f t="shared" si="350"/>
        <v>1</v>
      </c>
      <c r="HO58" s="128">
        <f t="shared" si="351"/>
        <v>0</v>
      </c>
      <c r="HP58" s="701" t="str">
        <f t="shared" si="433"/>
        <v/>
      </c>
      <c r="HQ58" s="704" t="str">
        <f t="shared" si="352"/>
        <v/>
      </c>
      <c r="HR58" s="701">
        <f t="shared" si="353"/>
        <v>1</v>
      </c>
      <c r="HS58" s="128">
        <f t="shared" si="354"/>
        <v>0</v>
      </c>
      <c r="HT58" s="701" t="str">
        <f t="shared" si="434"/>
        <v/>
      </c>
      <c r="HU58" s="704" t="str">
        <f t="shared" si="355"/>
        <v/>
      </c>
      <c r="HV58" s="701">
        <f t="shared" si="356"/>
        <v>1</v>
      </c>
      <c r="HW58" s="128">
        <f t="shared" si="357"/>
        <v>0</v>
      </c>
      <c r="HX58" s="701" t="str">
        <f t="shared" si="435"/>
        <v/>
      </c>
      <c r="HY58" s="704" t="str">
        <f t="shared" si="358"/>
        <v/>
      </c>
      <c r="HZ58" s="701">
        <f t="shared" si="359"/>
        <v>1</v>
      </c>
      <c r="IA58" s="128">
        <f t="shared" si="360"/>
        <v>0</v>
      </c>
      <c r="IB58" s="701" t="str">
        <f t="shared" si="436"/>
        <v/>
      </c>
      <c r="IC58" s="704" t="str">
        <f t="shared" si="361"/>
        <v/>
      </c>
      <c r="ID58" s="701">
        <f t="shared" si="362"/>
        <v>1</v>
      </c>
      <c r="IE58" s="128">
        <f t="shared" si="363"/>
        <v>0</v>
      </c>
      <c r="IF58" s="701" t="str">
        <f t="shared" si="437"/>
        <v/>
      </c>
      <c r="IG58" s="704" t="str">
        <f t="shared" si="364"/>
        <v/>
      </c>
      <c r="IH58" s="701">
        <f t="shared" si="365"/>
        <v>1</v>
      </c>
      <c r="II58" s="128">
        <f t="shared" si="366"/>
        <v>0</v>
      </c>
      <c r="IJ58" s="701" t="str">
        <f t="shared" si="438"/>
        <v/>
      </c>
      <c r="IK58" s="704" t="str">
        <f t="shared" si="367"/>
        <v/>
      </c>
      <c r="IL58" s="701">
        <f t="shared" si="368"/>
        <v>1</v>
      </c>
      <c r="IM58" s="128">
        <f t="shared" si="369"/>
        <v>0</v>
      </c>
      <c r="IN58" s="701" t="str">
        <f t="shared" si="439"/>
        <v/>
      </c>
      <c r="IO58" s="704" t="str">
        <f t="shared" si="370"/>
        <v/>
      </c>
      <c r="IP58" s="701">
        <f t="shared" si="371"/>
        <v>1</v>
      </c>
      <c r="IQ58" s="128">
        <f t="shared" si="372"/>
        <v>0</v>
      </c>
      <c r="IR58" s="701" t="str">
        <f t="shared" si="440"/>
        <v/>
      </c>
      <c r="IS58" s="704" t="str">
        <f t="shared" si="373"/>
        <v/>
      </c>
      <c r="IT58" s="701">
        <f t="shared" si="374"/>
        <v>1</v>
      </c>
      <c r="IU58" s="128">
        <f t="shared" si="375"/>
        <v>0</v>
      </c>
      <c r="IV58" s="701" t="str">
        <f t="shared" si="441"/>
        <v/>
      </c>
      <c r="IW58" s="704" t="str">
        <f t="shared" si="376"/>
        <v/>
      </c>
      <c r="IX58" s="701">
        <f t="shared" si="377"/>
        <v>1</v>
      </c>
      <c r="IY58" s="128">
        <f t="shared" si="378"/>
        <v>0</v>
      </c>
    </row>
    <row r="59" spans="1:259" s="2" customFormat="1" ht="5.25" customHeight="1" thickTop="1" thickBot="1" x14ac:dyDescent="0.35">
      <c r="D59" s="55"/>
      <c r="F59" s="1"/>
      <c r="G59" s="139"/>
      <c r="H59" s="1"/>
      <c r="I59" s="1"/>
      <c r="J59" s="1"/>
      <c r="R59" s="1"/>
      <c r="S59" s="1"/>
      <c r="T59" s="178"/>
      <c r="U59" s="1"/>
      <c r="V59" s="1"/>
      <c r="W59" s="1"/>
      <c r="X59" s="1"/>
      <c r="Y59" s="1"/>
      <c r="Z59" s="48"/>
      <c r="AM59" s="1"/>
      <c r="AN59" s="1"/>
      <c r="AO59" s="1"/>
      <c r="AP59" s="1"/>
      <c r="AQ59" s="1"/>
      <c r="AT59" s="87" t="str">
        <f>IF($F30="","",IF($F30=$F$25,$AW$25,IF($F30=$F$26,$AW$26,IF($F30=$F$27,$AW$27,IF($F30=$F$28,$AW$28,IF($F30=$F$29,$AW$29,IF($F30=$F$31,$AW$31,"")))))))</f>
        <v/>
      </c>
      <c r="AU59" s="78" t="str">
        <f t="shared" si="249"/>
        <v/>
      </c>
      <c r="AV59" s="78" t="str">
        <f t="shared" si="250"/>
        <v/>
      </c>
      <c r="AW59" s="78" t="str">
        <f t="shared" si="251"/>
        <v/>
      </c>
      <c r="AX59" s="239">
        <f t="shared" si="252"/>
        <v>0</v>
      </c>
      <c r="AY59" s="239" t="str">
        <f t="shared" si="253"/>
        <v/>
      </c>
      <c r="AZ59" s="214" t="str">
        <f t="shared" si="254"/>
        <v/>
      </c>
      <c r="BA59" s="214" t="str">
        <f t="shared" si="255"/>
        <v/>
      </c>
      <c r="BB59" s="214" t="str">
        <f t="shared" si="256"/>
        <v/>
      </c>
      <c r="BC59" s="214" t="str">
        <f t="shared" si="257"/>
        <v/>
      </c>
      <c r="BD59" s="1322">
        <f t="shared" si="379"/>
        <v>6</v>
      </c>
      <c r="BE59" s="1"/>
      <c r="BF59" s="214" t="str">
        <f t="shared" si="258"/>
        <v/>
      </c>
      <c r="BG59" s="94">
        <f t="shared" si="259"/>
        <v>0</v>
      </c>
      <c r="BH59" s="94">
        <f t="shared" si="260"/>
        <v>0</v>
      </c>
      <c r="BI59" s="94">
        <f t="shared" si="261"/>
        <v>0</v>
      </c>
      <c r="BJ59" s="237">
        <f t="shared" si="380"/>
        <v>0</v>
      </c>
      <c r="BK59" s="237">
        <f t="shared" si="262"/>
        <v>0</v>
      </c>
      <c r="BL59" s="237">
        <f t="shared" si="263"/>
        <v>0</v>
      </c>
      <c r="BM59" s="237">
        <f t="shared" si="264"/>
        <v>0</v>
      </c>
      <c r="BN59" s="237">
        <f t="shared" si="265"/>
        <v>0</v>
      </c>
      <c r="BO59" s="237">
        <f t="shared" si="266"/>
        <v>0</v>
      </c>
      <c r="BP59" s="237">
        <f t="shared" si="267"/>
        <v>0</v>
      </c>
      <c r="BQ59" s="237">
        <f t="shared" si="268"/>
        <v>0</v>
      </c>
      <c r="BR59" s="237">
        <f t="shared" si="269"/>
        <v>0</v>
      </c>
      <c r="BS59" s="237">
        <f t="shared" si="270"/>
        <v>0</v>
      </c>
      <c r="BT59" s="237">
        <f t="shared" si="381"/>
        <v>0</v>
      </c>
      <c r="BU59" s="237">
        <f t="shared" si="382"/>
        <v>0</v>
      </c>
      <c r="BV59" s="237">
        <f t="shared" si="383"/>
        <v>0</v>
      </c>
      <c r="BW59" s="237">
        <f t="shared" si="384"/>
        <v>0</v>
      </c>
      <c r="BX59" s="237">
        <f t="shared" si="385"/>
        <v>0</v>
      </c>
      <c r="BY59" s="237">
        <f t="shared" si="386"/>
        <v>0</v>
      </c>
      <c r="BZ59" s="237">
        <f t="shared" si="387"/>
        <v>0</v>
      </c>
      <c r="CA59" s="237">
        <f t="shared" si="388"/>
        <v>0</v>
      </c>
      <c r="CB59" s="237">
        <f t="shared" si="389"/>
        <v>0</v>
      </c>
      <c r="CC59" s="237">
        <f t="shared" si="390"/>
        <v>0</v>
      </c>
      <c r="CD59" s="237">
        <f t="shared" si="391"/>
        <v>0</v>
      </c>
      <c r="CE59" s="237">
        <f t="shared" si="392"/>
        <v>0</v>
      </c>
      <c r="CF59" s="237">
        <f t="shared" si="393"/>
        <v>0</v>
      </c>
      <c r="CG59" s="237">
        <f t="shared" si="394"/>
        <v>0</v>
      </c>
      <c r="CH59" s="237">
        <f t="shared" si="395"/>
        <v>0</v>
      </c>
      <c r="CI59" s="3"/>
      <c r="CJ59" s="3"/>
      <c r="CK59" s="1"/>
      <c r="CL59" s="1"/>
      <c r="CM59" s="1"/>
      <c r="CN59" s="1"/>
      <c r="CO59" s="1"/>
      <c r="CP59" s="1"/>
      <c r="CQ59" s="1"/>
      <c r="CR59" s="524">
        <f t="shared" si="396"/>
        <v>0</v>
      </c>
      <c r="CT59" s="495" t="str">
        <f t="shared" si="397"/>
        <v/>
      </c>
      <c r="CU59" s="496" t="str">
        <f t="shared" si="398"/>
        <v/>
      </c>
      <c r="CV59" s="496" t="str">
        <f t="shared" si="399"/>
        <v/>
      </c>
      <c r="CW59" s="1"/>
      <c r="CX59" s="1026" t="str">
        <f t="shared" si="271"/>
        <v/>
      </c>
      <c r="CY59" s="1026" t="str">
        <f t="shared" si="272"/>
        <v/>
      </c>
      <c r="CZ59" s="1473" t="str">
        <f t="shared" si="273"/>
        <v/>
      </c>
      <c r="DA59" s="1473" t="str">
        <f t="shared" si="274"/>
        <v/>
      </c>
      <c r="DB59" s="1474" t="str">
        <f t="shared" si="275"/>
        <v/>
      </c>
      <c r="DC59" s="1474" t="str">
        <f t="shared" si="276"/>
        <v/>
      </c>
      <c r="DD59" s="1473" t="str">
        <f t="shared" si="400"/>
        <v/>
      </c>
      <c r="DE59" s="1473" t="str">
        <f t="shared" si="401"/>
        <v/>
      </c>
      <c r="DF59" s="1476" t="str">
        <f t="shared" si="277"/>
        <v/>
      </c>
      <c r="DG59" s="1476" t="str">
        <f t="shared" si="278"/>
        <v/>
      </c>
      <c r="DJ59" s="93" t="str">
        <f t="shared" si="402"/>
        <v/>
      </c>
      <c r="DK59" s="93" t="str">
        <f t="shared" si="403"/>
        <v/>
      </c>
      <c r="DL59" s="93">
        <f t="shared" si="404"/>
        <v>0</v>
      </c>
      <c r="DM59" s="93" t="str">
        <f t="shared" si="279"/>
        <v/>
      </c>
      <c r="DN59" s="33">
        <v>6</v>
      </c>
      <c r="DO59" s="93" t="str">
        <f t="shared" si="280"/>
        <v/>
      </c>
      <c r="DP59" s="1"/>
      <c r="DQ59" s="33">
        <v>6</v>
      </c>
      <c r="DR59" s="1486" t="str">
        <f t="shared" si="405"/>
        <v/>
      </c>
      <c r="DS59" s="144" t="str">
        <f t="shared" si="281"/>
        <v/>
      </c>
      <c r="DT59" s="144" t="str">
        <f t="shared" si="282"/>
        <v/>
      </c>
      <c r="DU59" s="144" t="str">
        <f t="shared" si="283"/>
        <v/>
      </c>
      <c r="DV59" s="144" t="str">
        <f t="shared" si="284"/>
        <v/>
      </c>
      <c r="DW59" s="144" t="str">
        <f t="shared" si="285"/>
        <v/>
      </c>
      <c r="DX59" s="144" t="str">
        <f t="shared" si="286"/>
        <v/>
      </c>
      <c r="DY59" s="144" t="str">
        <f t="shared" si="287"/>
        <v/>
      </c>
      <c r="DZ59" s="144" t="str">
        <f t="shared" si="288"/>
        <v/>
      </c>
      <c r="EA59" s="144" t="str">
        <f t="shared" si="289"/>
        <v/>
      </c>
      <c r="EB59" s="144" t="str">
        <f t="shared" si="290"/>
        <v/>
      </c>
      <c r="EC59" s="144" t="str">
        <f t="shared" si="291"/>
        <v/>
      </c>
      <c r="ED59" s="144" t="str">
        <f t="shared" si="292"/>
        <v/>
      </c>
      <c r="EE59" s="144" t="str">
        <f t="shared" si="293"/>
        <v/>
      </c>
      <c r="EF59" s="144" t="str">
        <f t="shared" si="294"/>
        <v/>
      </c>
      <c r="EG59" s="144" t="str">
        <f t="shared" si="295"/>
        <v/>
      </c>
      <c r="EH59" s="144" t="str">
        <f t="shared" si="296"/>
        <v/>
      </c>
      <c r="EI59" s="144" t="str">
        <f t="shared" si="297"/>
        <v/>
      </c>
      <c r="EJ59" s="144" t="str">
        <f t="shared" si="298"/>
        <v/>
      </c>
      <c r="EK59" s="144" t="str">
        <f t="shared" si="299"/>
        <v/>
      </c>
      <c r="EL59" s="144" t="str">
        <f t="shared" si="300"/>
        <v/>
      </c>
      <c r="EM59" s="144" t="str">
        <f t="shared" si="301"/>
        <v/>
      </c>
      <c r="EN59" s="720" t="str">
        <f t="shared" si="302"/>
        <v/>
      </c>
      <c r="EO59" s="720" t="str">
        <f t="shared" si="303"/>
        <v/>
      </c>
      <c r="EP59" s="720" t="str">
        <f t="shared" si="304"/>
        <v/>
      </c>
      <c r="EQ59" s="720" t="str">
        <f t="shared" si="305"/>
        <v/>
      </c>
      <c r="ER59" s="720" t="str">
        <f t="shared" si="306"/>
        <v/>
      </c>
      <c r="ES59" s="1460">
        <f t="shared" si="406"/>
        <v>0</v>
      </c>
      <c r="ET59" s="201">
        <f t="shared" si="407"/>
        <v>26</v>
      </c>
      <c r="EU59" s="137" t="str">
        <f t="shared" si="408"/>
        <v/>
      </c>
      <c r="EV59" s="290" t="str">
        <f t="shared" si="307"/>
        <v/>
      </c>
      <c r="EW59" s="290" t="str">
        <f>IF(OR(DM59="",DL59&lt;2),"",IF(AND(OR(H30&gt;=$AU$7,H30&gt;=$AU$6),COUNTIF($DS$54:$DS$78,DS59)&gt;1),H30,""))</f>
        <v/>
      </c>
      <c r="EX59" s="725" t="str">
        <f>IF(OR(FF59="",FG59=""),"",IF(H30&gt;=1,EY59+ES59+FD59,""))</f>
        <v/>
      </c>
      <c r="EY59" s="1322">
        <f t="shared" si="310"/>
        <v>0</v>
      </c>
      <c r="EZ59" s="201">
        <f t="shared" si="409"/>
        <v>25</v>
      </c>
      <c r="FA59" s="1467" t="str">
        <f t="shared" si="410"/>
        <v/>
      </c>
      <c r="FB59" s="216" t="str">
        <f t="shared" si="411"/>
        <v/>
      </c>
      <c r="FC59" s="795" t="str" cm="1">
        <f t="array" ref="FC59">IF($FB59="","",INDEX($H$25:$H$49,$DN30))</f>
        <v/>
      </c>
      <c r="FD59" s="234" t="str">
        <f>IF(OR(FF59="",FG59=""),"",IF(AND(Q30&lt;&gt;"",$EV$53&lt;&gt;"",D30&lt;&gt;"s",H30&gt;=$AU$7,B30="nc"),Q30,FE59+FK59+FO59+FS59+FW59+GA59+GE59+GI59+GM59+GQ59+GU59+GY59+HC59+HG59+HK59+HO59+HS59+HW59+IA59+IE59+II59+IM59+IQ59+IU59+IY59))</f>
        <v/>
      </c>
      <c r="FE59" s="90">
        <f t="shared" si="311"/>
        <v>0</v>
      </c>
      <c r="FF59" s="711" t="str">
        <f t="shared" si="413"/>
        <v/>
      </c>
      <c r="FG59" s="712" t="str">
        <f t="shared" si="413"/>
        <v/>
      </c>
      <c r="FH59" s="701" t="str">
        <f>IF(OR(FG59=0,COUNTIF($FF$54:$FF$78,FG59)=0),"",IF(FG59=$EV$53,$BA$23,MATCH(FG59,$FF$54:$FF$78,0)))</f>
        <v/>
      </c>
      <c r="FI59" s="704" t="str">
        <f t="shared" si="312"/>
        <v/>
      </c>
      <c r="FJ59" s="701">
        <f t="shared" si="313"/>
        <v>1</v>
      </c>
      <c r="FK59" s="128">
        <f t="shared" si="414"/>
        <v>0</v>
      </c>
      <c r="FL59" s="701" t="str">
        <f t="shared" si="415"/>
        <v/>
      </c>
      <c r="FM59" s="704" t="str">
        <f t="shared" si="314"/>
        <v/>
      </c>
      <c r="FN59" s="701">
        <f t="shared" si="315"/>
        <v>1</v>
      </c>
      <c r="FO59" s="128">
        <f t="shared" si="316"/>
        <v>0</v>
      </c>
      <c r="FP59" s="701" t="str">
        <f t="shared" si="416"/>
        <v/>
      </c>
      <c r="FQ59" s="704" t="str">
        <f t="shared" si="317"/>
        <v/>
      </c>
      <c r="FR59" s="701">
        <f t="shared" si="417"/>
        <v>1</v>
      </c>
      <c r="FS59" s="128">
        <f t="shared" si="318"/>
        <v>0</v>
      </c>
      <c r="FT59" s="701" t="str">
        <f t="shared" si="418"/>
        <v/>
      </c>
      <c r="FU59" s="704" t="str">
        <f t="shared" si="319"/>
        <v/>
      </c>
      <c r="FV59" s="701">
        <f t="shared" si="419"/>
        <v>1</v>
      </c>
      <c r="FW59" s="128">
        <f t="shared" si="320"/>
        <v>0</v>
      </c>
      <c r="FX59" s="701" t="str">
        <f t="shared" si="420"/>
        <v/>
      </c>
      <c r="FY59" s="704" t="str">
        <f t="shared" si="321"/>
        <v/>
      </c>
      <c r="FZ59" s="701">
        <f t="shared" si="421"/>
        <v>1</v>
      </c>
      <c r="GA59" s="128">
        <f t="shared" si="322"/>
        <v>0</v>
      </c>
      <c r="GB59" s="701" t="str">
        <f t="shared" si="422"/>
        <v/>
      </c>
      <c r="GC59" s="704" t="str">
        <f t="shared" si="323"/>
        <v/>
      </c>
      <c r="GD59" s="701">
        <f t="shared" si="423"/>
        <v>1</v>
      </c>
      <c r="GE59" s="128">
        <f t="shared" si="324"/>
        <v>0</v>
      </c>
      <c r="GF59" s="701" t="str">
        <f t="shared" si="424"/>
        <v/>
      </c>
      <c r="GG59" s="704" t="str">
        <f t="shared" si="325"/>
        <v/>
      </c>
      <c r="GH59" s="701">
        <f t="shared" si="326"/>
        <v>1</v>
      </c>
      <c r="GI59" s="128">
        <f t="shared" si="327"/>
        <v>0</v>
      </c>
      <c r="GJ59" s="701" t="str">
        <f t="shared" si="425"/>
        <v/>
      </c>
      <c r="GK59" s="704" t="str">
        <f t="shared" si="328"/>
        <v/>
      </c>
      <c r="GL59" s="701">
        <f t="shared" si="329"/>
        <v>1</v>
      </c>
      <c r="GM59" s="128">
        <f t="shared" si="330"/>
        <v>0</v>
      </c>
      <c r="GN59" s="701" t="str">
        <f t="shared" si="426"/>
        <v/>
      </c>
      <c r="GO59" s="704" t="str">
        <f t="shared" si="331"/>
        <v/>
      </c>
      <c r="GP59" s="701">
        <f t="shared" si="332"/>
        <v>1</v>
      </c>
      <c r="GQ59" s="128">
        <f t="shared" si="333"/>
        <v>0</v>
      </c>
      <c r="GR59" s="701" t="str">
        <f t="shared" si="427"/>
        <v/>
      </c>
      <c r="GS59" s="704" t="str">
        <f t="shared" si="334"/>
        <v/>
      </c>
      <c r="GT59" s="701">
        <f t="shared" si="335"/>
        <v>1</v>
      </c>
      <c r="GU59" s="128">
        <f t="shared" si="336"/>
        <v>0</v>
      </c>
      <c r="GV59" s="701" t="str">
        <f t="shared" si="428"/>
        <v/>
      </c>
      <c r="GW59" s="704" t="str">
        <f t="shared" si="337"/>
        <v/>
      </c>
      <c r="GX59" s="701">
        <f t="shared" si="338"/>
        <v>1</v>
      </c>
      <c r="GY59" s="128">
        <f t="shared" si="339"/>
        <v>0</v>
      </c>
      <c r="GZ59" s="701" t="str">
        <f t="shared" si="429"/>
        <v/>
      </c>
      <c r="HA59" s="704" t="str">
        <f t="shared" si="340"/>
        <v/>
      </c>
      <c r="HB59" s="701">
        <f t="shared" si="341"/>
        <v>1</v>
      </c>
      <c r="HC59" s="128">
        <f t="shared" si="342"/>
        <v>0</v>
      </c>
      <c r="HD59" s="701" t="str">
        <f t="shared" si="430"/>
        <v/>
      </c>
      <c r="HE59" s="704" t="str">
        <f t="shared" si="343"/>
        <v/>
      </c>
      <c r="HF59" s="701">
        <f t="shared" si="344"/>
        <v>1</v>
      </c>
      <c r="HG59" s="128">
        <f t="shared" si="345"/>
        <v>0</v>
      </c>
      <c r="HH59" s="701" t="str">
        <f t="shared" si="431"/>
        <v/>
      </c>
      <c r="HI59" s="704" t="str">
        <f t="shared" si="346"/>
        <v/>
      </c>
      <c r="HJ59" s="701">
        <f t="shared" si="347"/>
        <v>1</v>
      </c>
      <c r="HK59" s="128">
        <f t="shared" si="348"/>
        <v>0</v>
      </c>
      <c r="HL59" s="701" t="str">
        <f t="shared" si="432"/>
        <v/>
      </c>
      <c r="HM59" s="704" t="str">
        <f t="shared" si="349"/>
        <v/>
      </c>
      <c r="HN59" s="701">
        <f t="shared" si="350"/>
        <v>1</v>
      </c>
      <c r="HO59" s="128">
        <f t="shared" si="351"/>
        <v>0</v>
      </c>
      <c r="HP59" s="701" t="str">
        <f t="shared" si="433"/>
        <v/>
      </c>
      <c r="HQ59" s="704" t="str">
        <f t="shared" si="352"/>
        <v/>
      </c>
      <c r="HR59" s="701">
        <f t="shared" si="353"/>
        <v>1</v>
      </c>
      <c r="HS59" s="128">
        <f t="shared" si="354"/>
        <v>0</v>
      </c>
      <c r="HT59" s="701" t="str">
        <f t="shared" si="434"/>
        <v/>
      </c>
      <c r="HU59" s="704" t="str">
        <f t="shared" si="355"/>
        <v/>
      </c>
      <c r="HV59" s="701">
        <f t="shared" si="356"/>
        <v>1</v>
      </c>
      <c r="HW59" s="128">
        <f t="shared" si="357"/>
        <v>0</v>
      </c>
      <c r="HX59" s="701" t="str">
        <f t="shared" si="435"/>
        <v/>
      </c>
      <c r="HY59" s="704" t="str">
        <f t="shared" si="358"/>
        <v/>
      </c>
      <c r="HZ59" s="701">
        <f t="shared" si="359"/>
        <v>1</v>
      </c>
      <c r="IA59" s="128">
        <f t="shared" si="360"/>
        <v>0</v>
      </c>
      <c r="IB59" s="701" t="str">
        <f t="shared" si="436"/>
        <v/>
      </c>
      <c r="IC59" s="704" t="str">
        <f t="shared" si="361"/>
        <v/>
      </c>
      <c r="ID59" s="701">
        <f t="shared" si="362"/>
        <v>1</v>
      </c>
      <c r="IE59" s="128">
        <f t="shared" si="363"/>
        <v>0</v>
      </c>
      <c r="IF59" s="701" t="str">
        <f t="shared" si="437"/>
        <v/>
      </c>
      <c r="IG59" s="704" t="str">
        <f t="shared" si="364"/>
        <v/>
      </c>
      <c r="IH59" s="701">
        <f t="shared" si="365"/>
        <v>1</v>
      </c>
      <c r="II59" s="128">
        <f t="shared" si="366"/>
        <v>0</v>
      </c>
      <c r="IJ59" s="701" t="str">
        <f t="shared" si="438"/>
        <v/>
      </c>
      <c r="IK59" s="704" t="str">
        <f t="shared" si="367"/>
        <v/>
      </c>
      <c r="IL59" s="701">
        <f t="shared" si="368"/>
        <v>1</v>
      </c>
      <c r="IM59" s="128">
        <f t="shared" si="369"/>
        <v>0</v>
      </c>
      <c r="IN59" s="701" t="str">
        <f t="shared" si="439"/>
        <v/>
      </c>
      <c r="IO59" s="704" t="str">
        <f t="shared" si="370"/>
        <v/>
      </c>
      <c r="IP59" s="701">
        <f t="shared" si="371"/>
        <v>1</v>
      </c>
      <c r="IQ59" s="128">
        <f t="shared" si="372"/>
        <v>0</v>
      </c>
      <c r="IR59" s="701" t="str">
        <f t="shared" si="440"/>
        <v/>
      </c>
      <c r="IS59" s="704" t="str">
        <f t="shared" si="373"/>
        <v/>
      </c>
      <c r="IT59" s="701">
        <f t="shared" si="374"/>
        <v>1</v>
      </c>
      <c r="IU59" s="128">
        <f t="shared" si="375"/>
        <v>0</v>
      </c>
      <c r="IV59" s="701" t="str">
        <f t="shared" si="441"/>
        <v/>
      </c>
      <c r="IW59" s="704" t="str">
        <f t="shared" si="376"/>
        <v/>
      </c>
      <c r="IX59" s="701">
        <f t="shared" si="377"/>
        <v>1</v>
      </c>
      <c r="IY59" s="128">
        <f t="shared" si="378"/>
        <v>0</v>
      </c>
    </row>
    <row r="60" spans="1:259" s="2" customFormat="1" ht="13.3" thickTop="1" thickBot="1" x14ac:dyDescent="0.35">
      <c r="D60" s="195"/>
      <c r="E60" s="195"/>
      <c r="F60" s="195"/>
      <c r="G60" s="195"/>
      <c r="H60" s="195"/>
      <c r="I60" s="195"/>
      <c r="J60" s="462"/>
      <c r="R60" s="185"/>
      <c r="S60" s="195"/>
      <c r="T60" s="195"/>
      <c r="U60" s="195"/>
      <c r="V60" s="195"/>
      <c r="W60" s="195"/>
      <c r="X60" s="195"/>
      <c r="Y60" s="195"/>
      <c r="Z60" s="195"/>
      <c r="AA60" s="195"/>
      <c r="AB60" s="195"/>
      <c r="AC60" s="195"/>
      <c r="AD60" s="195"/>
      <c r="AE60" s="195"/>
      <c r="AF60" s="195"/>
      <c r="AG60" s="195"/>
      <c r="AH60" s="195"/>
      <c r="AI60" s="195"/>
      <c r="AJ60" s="195"/>
      <c r="AK60" s="1"/>
      <c r="AL60" s="1"/>
      <c r="AM60" s="1"/>
      <c r="AN60" s="1"/>
      <c r="AO60" s="1"/>
      <c r="AP60" s="1"/>
      <c r="AQ60" s="442"/>
      <c r="AT60" s="87" t="str">
        <f t="shared" ref="AT60:AT78" si="443">IF($F31="","",IF($F31=$F$25,$AW$25,IF($F31=$F$26,$AW$26,IF($F31=$F$27,$AW$27,IF($F31=$F$28,$AW$28,IF($F31=$F$29,$AW$29,IF($F31=$F$30,$AW$30,"")))))))</f>
        <v/>
      </c>
      <c r="AU60" s="78" t="str">
        <f>IF($F31="","",IF($F31=$F$32,$AW$32,IF($F31=$F$33,$AW$33,IF($F31=$F$34,$AW$34,IF($F31=$F$35,$AW$35,IF($F31=$F$36,$AW$36,IF($F31=$F$37,$AW$37,"")))))))</f>
        <v/>
      </c>
      <c r="AV60" s="78" t="str">
        <f t="shared" si="250"/>
        <v/>
      </c>
      <c r="AW60" s="78" t="str">
        <f t="shared" si="251"/>
        <v/>
      </c>
      <c r="AX60" s="239">
        <f t="shared" si="252"/>
        <v>0</v>
      </c>
      <c r="AY60" s="239" t="str">
        <f t="shared" si="253"/>
        <v/>
      </c>
      <c r="AZ60" s="214" t="str">
        <f t="shared" si="254"/>
        <v/>
      </c>
      <c r="BA60" s="214" t="str">
        <f t="shared" si="255"/>
        <v/>
      </c>
      <c r="BB60" s="214" t="str">
        <f t="shared" si="256"/>
        <v/>
      </c>
      <c r="BC60" s="214" t="str">
        <f t="shared" si="257"/>
        <v/>
      </c>
      <c r="BD60" s="1322">
        <f t="shared" si="379"/>
        <v>7</v>
      </c>
      <c r="BE60" s="1"/>
      <c r="BF60" s="214" t="str">
        <f>IF(BG60=0,"",IF(AND(BB60="",BG60=BH60+BI60),1,IF(AND($BB$79&lt;&gt;"",BB60=$BB$79),1,0)))</f>
        <v/>
      </c>
      <c r="BG60" s="94">
        <f t="shared" si="259"/>
        <v>0</v>
      </c>
      <c r="BH60" s="94">
        <f t="shared" si="260"/>
        <v>0</v>
      </c>
      <c r="BI60" s="94">
        <f t="shared" si="261"/>
        <v>0</v>
      </c>
      <c r="BJ60" s="237">
        <f t="shared" si="380"/>
        <v>0</v>
      </c>
      <c r="BK60" s="237">
        <f t="shared" si="262"/>
        <v>0</v>
      </c>
      <c r="BL60" s="237">
        <f t="shared" si="263"/>
        <v>0</v>
      </c>
      <c r="BM60" s="237">
        <f t="shared" si="264"/>
        <v>0</v>
      </c>
      <c r="BN60" s="237">
        <f t="shared" si="265"/>
        <v>0</v>
      </c>
      <c r="BO60" s="237">
        <f t="shared" si="266"/>
        <v>0</v>
      </c>
      <c r="BP60" s="237">
        <f t="shared" si="267"/>
        <v>0</v>
      </c>
      <c r="BQ60" s="237">
        <f t="shared" si="268"/>
        <v>0</v>
      </c>
      <c r="BR60" s="237">
        <f t="shared" si="269"/>
        <v>0</v>
      </c>
      <c r="BS60" s="237">
        <f t="shared" si="270"/>
        <v>0</v>
      </c>
      <c r="BT60" s="237">
        <f t="shared" si="381"/>
        <v>0</v>
      </c>
      <c r="BU60" s="237">
        <f t="shared" si="382"/>
        <v>0</v>
      </c>
      <c r="BV60" s="237">
        <f t="shared" si="383"/>
        <v>0</v>
      </c>
      <c r="BW60" s="237">
        <f t="shared" si="384"/>
        <v>0</v>
      </c>
      <c r="BX60" s="237">
        <f t="shared" si="385"/>
        <v>0</v>
      </c>
      <c r="BY60" s="237">
        <f t="shared" si="386"/>
        <v>0</v>
      </c>
      <c r="BZ60" s="237">
        <f t="shared" si="387"/>
        <v>0</v>
      </c>
      <c r="CA60" s="237">
        <f t="shared" si="388"/>
        <v>0</v>
      </c>
      <c r="CB60" s="237">
        <f t="shared" si="389"/>
        <v>0</v>
      </c>
      <c r="CC60" s="237">
        <f t="shared" si="390"/>
        <v>0</v>
      </c>
      <c r="CD60" s="237">
        <f t="shared" si="391"/>
        <v>0</v>
      </c>
      <c r="CE60" s="237">
        <f t="shared" si="392"/>
        <v>0</v>
      </c>
      <c r="CF60" s="237">
        <f t="shared" si="393"/>
        <v>0</v>
      </c>
      <c r="CG60" s="237">
        <f t="shared" si="394"/>
        <v>0</v>
      </c>
      <c r="CH60" s="237">
        <f t="shared" si="395"/>
        <v>0</v>
      </c>
      <c r="CI60" s="3"/>
      <c r="CJ60" s="3"/>
      <c r="CK60" s="1"/>
      <c r="CL60" s="1"/>
      <c r="CM60" s="1"/>
      <c r="CN60" s="1"/>
      <c r="CO60" s="1"/>
      <c r="CP60" s="1"/>
      <c r="CQ60" s="1"/>
      <c r="CR60" s="524">
        <f t="shared" si="396"/>
        <v>0</v>
      </c>
      <c r="CT60" s="495" t="str">
        <f t="shared" si="397"/>
        <v/>
      </c>
      <c r="CU60" s="496" t="str">
        <f t="shared" si="398"/>
        <v/>
      </c>
      <c r="CV60" s="496" t="str">
        <f t="shared" si="399"/>
        <v/>
      </c>
      <c r="CW60" s="1"/>
      <c r="CX60" s="1026" t="str">
        <f t="shared" si="271"/>
        <v/>
      </c>
      <c r="CY60" s="1026" t="str">
        <f t="shared" si="272"/>
        <v/>
      </c>
      <c r="CZ60" s="1473" t="str">
        <f t="shared" si="273"/>
        <v/>
      </c>
      <c r="DA60" s="1473" t="str">
        <f t="shared" si="274"/>
        <v/>
      </c>
      <c r="DB60" s="1474" t="str">
        <f t="shared" si="275"/>
        <v/>
      </c>
      <c r="DC60" s="1474" t="str">
        <f t="shared" si="276"/>
        <v/>
      </c>
      <c r="DD60" s="1473" t="str">
        <f t="shared" si="400"/>
        <v/>
      </c>
      <c r="DE60" s="1473" t="str">
        <f t="shared" si="401"/>
        <v/>
      </c>
      <c r="DF60" s="1476" t="str">
        <f t="shared" si="277"/>
        <v/>
      </c>
      <c r="DG60" s="1476" t="str">
        <f t="shared" si="278"/>
        <v/>
      </c>
      <c r="DJ60" s="93" t="str">
        <f t="shared" si="402"/>
        <v/>
      </c>
      <c r="DK60" s="93" t="str">
        <f t="shared" si="403"/>
        <v/>
      </c>
      <c r="DL60" s="93">
        <f t="shared" si="404"/>
        <v>0</v>
      </c>
      <c r="DM60" s="93" t="str">
        <f t="shared" si="279"/>
        <v/>
      </c>
      <c r="DN60" s="33">
        <v>7</v>
      </c>
      <c r="DO60" s="93" t="str">
        <f t="shared" si="280"/>
        <v/>
      </c>
      <c r="DP60" s="1"/>
      <c r="DQ60" s="33">
        <v>7</v>
      </c>
      <c r="DR60" s="1486" t="str">
        <f t="shared" si="405"/>
        <v/>
      </c>
      <c r="DS60" s="144" t="str">
        <f t="shared" si="281"/>
        <v/>
      </c>
      <c r="DT60" s="144" t="str">
        <f t="shared" si="282"/>
        <v/>
      </c>
      <c r="DU60" s="144" t="str">
        <f t="shared" si="283"/>
        <v/>
      </c>
      <c r="DV60" s="144" t="str">
        <f t="shared" si="284"/>
        <v/>
      </c>
      <c r="DW60" s="144" t="str">
        <f t="shared" si="285"/>
        <v/>
      </c>
      <c r="DX60" s="144" t="str">
        <f t="shared" si="286"/>
        <v/>
      </c>
      <c r="DY60" s="144" t="str">
        <f t="shared" si="287"/>
        <v/>
      </c>
      <c r="DZ60" s="144" t="str">
        <f t="shared" si="288"/>
        <v/>
      </c>
      <c r="EA60" s="144" t="str">
        <f t="shared" si="289"/>
        <v/>
      </c>
      <c r="EB60" s="144" t="str">
        <f t="shared" si="290"/>
        <v/>
      </c>
      <c r="EC60" s="144" t="str">
        <f t="shared" si="291"/>
        <v/>
      </c>
      <c r="ED60" s="144" t="str">
        <f t="shared" si="292"/>
        <v/>
      </c>
      <c r="EE60" s="144" t="str">
        <f t="shared" si="293"/>
        <v/>
      </c>
      <c r="EF60" s="144" t="str">
        <f t="shared" si="294"/>
        <v/>
      </c>
      <c r="EG60" s="144" t="str">
        <f t="shared" si="295"/>
        <v/>
      </c>
      <c r="EH60" s="144" t="str">
        <f t="shared" si="296"/>
        <v/>
      </c>
      <c r="EI60" s="144" t="str">
        <f t="shared" si="297"/>
        <v/>
      </c>
      <c r="EJ60" s="144" t="str">
        <f t="shared" si="298"/>
        <v/>
      </c>
      <c r="EK60" s="144" t="str">
        <f t="shared" si="299"/>
        <v/>
      </c>
      <c r="EL60" s="144" t="str">
        <f t="shared" si="300"/>
        <v/>
      </c>
      <c r="EM60" s="144" t="str">
        <f t="shared" si="301"/>
        <v/>
      </c>
      <c r="EN60" s="720" t="str">
        <f t="shared" si="302"/>
        <v/>
      </c>
      <c r="EO60" s="720" t="str">
        <f t="shared" si="303"/>
        <v/>
      </c>
      <c r="EP60" s="720" t="str">
        <f t="shared" si="304"/>
        <v/>
      </c>
      <c r="EQ60" s="720" t="str">
        <f t="shared" si="305"/>
        <v/>
      </c>
      <c r="ER60" s="720" t="str">
        <f t="shared" si="306"/>
        <v/>
      </c>
      <c r="ES60" s="1460">
        <f t="shared" si="406"/>
        <v>0</v>
      </c>
      <c r="ET60" s="201">
        <f t="shared" si="407"/>
        <v>26</v>
      </c>
      <c r="EU60" s="137" t="str">
        <f t="shared" si="408"/>
        <v/>
      </c>
      <c r="EV60" s="290" t="str">
        <f t="shared" si="307"/>
        <v/>
      </c>
      <c r="EW60" s="290" t="str">
        <f t="shared" si="308"/>
        <v/>
      </c>
      <c r="EX60" s="725" t="str">
        <f>IF(OR(FF60="",FG60=""),"",IF(H31&gt;=1,EY60+ES60+FD60,""))</f>
        <v/>
      </c>
      <c r="EY60" s="1322">
        <f t="shared" si="310"/>
        <v>0</v>
      </c>
      <c r="EZ60" s="201">
        <f t="shared" si="409"/>
        <v>25</v>
      </c>
      <c r="FA60" s="1467" t="str">
        <f t="shared" si="410"/>
        <v/>
      </c>
      <c r="FB60" s="216" t="str">
        <f t="shared" si="411"/>
        <v/>
      </c>
      <c r="FC60" s="795" t="str" cm="1">
        <f t="array" ref="FC60">IF($FB60="","",INDEX($H$25:$H$49,$DN31))</f>
        <v/>
      </c>
      <c r="FD60" s="234" t="str">
        <f>IF(OR(FF60="",FG60=""),"",IF(AND(Q31&lt;&gt;"",$EV$53&lt;&gt;"",D31&lt;&gt;"s",H31&gt;=$AU$7,B31="nc"),Q31,FE60+FK60+FO60+FS60+FW60+GA60+GE60+GI60+GM60+GQ60+GU60+GY60+HC60+HG60+HK60+HO60+HS60+HW60+IA60+IE60+II60+IM60+IQ60+IU60+IY60))</f>
        <v/>
      </c>
      <c r="FE60" s="90">
        <f t="shared" si="311"/>
        <v>0</v>
      </c>
      <c r="FF60" s="711" t="str">
        <f t="shared" si="413"/>
        <v/>
      </c>
      <c r="FG60" s="712" t="str">
        <f t="shared" si="413"/>
        <v/>
      </c>
      <c r="FH60" s="701" t="str">
        <f>IF(OR(FG60=0,COUNTIF($FF$54:$FF$78,FG60)=0),"",IF(FG60=$EV$53,$BA$23,MATCH(FG60,$FF$54:$FF$78,0)))</f>
        <v/>
      </c>
      <c r="FI60" s="704" t="str">
        <f t="shared" si="312"/>
        <v/>
      </c>
      <c r="FJ60" s="701">
        <f t="shared" si="313"/>
        <v>1</v>
      </c>
      <c r="FK60" s="128">
        <f t="shared" si="414"/>
        <v>0</v>
      </c>
      <c r="FL60" s="701" t="str">
        <f t="shared" si="415"/>
        <v/>
      </c>
      <c r="FM60" s="704" t="str">
        <f t="shared" si="314"/>
        <v/>
      </c>
      <c r="FN60" s="701">
        <f t="shared" si="315"/>
        <v>1</v>
      </c>
      <c r="FO60" s="128">
        <f t="shared" si="316"/>
        <v>0</v>
      </c>
      <c r="FP60" s="701" t="str">
        <f t="shared" si="416"/>
        <v/>
      </c>
      <c r="FQ60" s="704" t="str">
        <f t="shared" si="317"/>
        <v/>
      </c>
      <c r="FR60" s="701">
        <f t="shared" si="417"/>
        <v>1</v>
      </c>
      <c r="FS60" s="128">
        <f t="shared" si="318"/>
        <v>0</v>
      </c>
      <c r="FT60" s="701" t="str">
        <f t="shared" si="418"/>
        <v/>
      </c>
      <c r="FU60" s="704" t="str">
        <f t="shared" si="319"/>
        <v/>
      </c>
      <c r="FV60" s="701">
        <f t="shared" si="419"/>
        <v>1</v>
      </c>
      <c r="FW60" s="128">
        <f t="shared" si="320"/>
        <v>0</v>
      </c>
      <c r="FX60" s="701" t="str">
        <f t="shared" si="420"/>
        <v/>
      </c>
      <c r="FY60" s="704" t="str">
        <f t="shared" si="321"/>
        <v/>
      </c>
      <c r="FZ60" s="701">
        <f t="shared" si="421"/>
        <v>1</v>
      </c>
      <c r="GA60" s="128">
        <f t="shared" si="322"/>
        <v>0</v>
      </c>
      <c r="GB60" s="701" t="str">
        <f t="shared" si="422"/>
        <v/>
      </c>
      <c r="GC60" s="704" t="str">
        <f t="shared" si="323"/>
        <v/>
      </c>
      <c r="GD60" s="701">
        <f t="shared" si="423"/>
        <v>1</v>
      </c>
      <c r="GE60" s="128">
        <f t="shared" si="324"/>
        <v>0</v>
      </c>
      <c r="GF60" s="701" t="str">
        <f t="shared" si="424"/>
        <v/>
      </c>
      <c r="GG60" s="704" t="str">
        <f t="shared" si="325"/>
        <v/>
      </c>
      <c r="GH60" s="701">
        <f t="shared" si="326"/>
        <v>1</v>
      </c>
      <c r="GI60" s="128">
        <f t="shared" si="327"/>
        <v>0</v>
      </c>
      <c r="GJ60" s="701" t="str">
        <f t="shared" si="425"/>
        <v/>
      </c>
      <c r="GK60" s="704" t="str">
        <f t="shared" si="328"/>
        <v/>
      </c>
      <c r="GL60" s="701">
        <f t="shared" si="329"/>
        <v>1</v>
      </c>
      <c r="GM60" s="128">
        <f t="shared" si="330"/>
        <v>0</v>
      </c>
      <c r="GN60" s="701" t="str">
        <f t="shared" si="426"/>
        <v/>
      </c>
      <c r="GO60" s="704" t="str">
        <f t="shared" si="331"/>
        <v/>
      </c>
      <c r="GP60" s="701">
        <f t="shared" si="332"/>
        <v>1</v>
      </c>
      <c r="GQ60" s="128">
        <f t="shared" si="333"/>
        <v>0</v>
      </c>
      <c r="GR60" s="701" t="str">
        <f t="shared" si="427"/>
        <v/>
      </c>
      <c r="GS60" s="704" t="str">
        <f t="shared" si="334"/>
        <v/>
      </c>
      <c r="GT60" s="701">
        <f t="shared" si="335"/>
        <v>1</v>
      </c>
      <c r="GU60" s="128">
        <f t="shared" si="336"/>
        <v>0</v>
      </c>
      <c r="GV60" s="701" t="str">
        <f t="shared" si="428"/>
        <v/>
      </c>
      <c r="GW60" s="704" t="str">
        <f t="shared" si="337"/>
        <v/>
      </c>
      <c r="GX60" s="701">
        <f t="shared" si="338"/>
        <v>1</v>
      </c>
      <c r="GY60" s="128">
        <f t="shared" si="339"/>
        <v>0</v>
      </c>
      <c r="GZ60" s="701" t="str">
        <f t="shared" si="429"/>
        <v/>
      </c>
      <c r="HA60" s="704" t="str">
        <f t="shared" si="340"/>
        <v/>
      </c>
      <c r="HB60" s="701">
        <f t="shared" si="341"/>
        <v>1</v>
      </c>
      <c r="HC60" s="128">
        <f t="shared" si="342"/>
        <v>0</v>
      </c>
      <c r="HD60" s="701" t="str">
        <f t="shared" si="430"/>
        <v/>
      </c>
      <c r="HE60" s="704" t="str">
        <f t="shared" si="343"/>
        <v/>
      </c>
      <c r="HF60" s="701">
        <f t="shared" si="344"/>
        <v>1</v>
      </c>
      <c r="HG60" s="128">
        <f t="shared" si="345"/>
        <v>0</v>
      </c>
      <c r="HH60" s="701" t="str">
        <f t="shared" si="431"/>
        <v/>
      </c>
      <c r="HI60" s="704" t="str">
        <f t="shared" si="346"/>
        <v/>
      </c>
      <c r="HJ60" s="701">
        <f t="shared" si="347"/>
        <v>1</v>
      </c>
      <c r="HK60" s="128">
        <f t="shared" si="348"/>
        <v>0</v>
      </c>
      <c r="HL60" s="701" t="str">
        <f t="shared" si="432"/>
        <v/>
      </c>
      <c r="HM60" s="704" t="str">
        <f t="shared" si="349"/>
        <v/>
      </c>
      <c r="HN60" s="701">
        <f t="shared" si="350"/>
        <v>1</v>
      </c>
      <c r="HO60" s="128">
        <f t="shared" si="351"/>
        <v>0</v>
      </c>
      <c r="HP60" s="701" t="str">
        <f t="shared" si="433"/>
        <v/>
      </c>
      <c r="HQ60" s="704" t="str">
        <f t="shared" si="352"/>
        <v/>
      </c>
      <c r="HR60" s="701">
        <f t="shared" si="353"/>
        <v>1</v>
      </c>
      <c r="HS60" s="128">
        <f t="shared" si="354"/>
        <v>0</v>
      </c>
      <c r="HT60" s="701" t="str">
        <f t="shared" si="434"/>
        <v/>
      </c>
      <c r="HU60" s="704" t="str">
        <f t="shared" si="355"/>
        <v/>
      </c>
      <c r="HV60" s="701">
        <f t="shared" si="356"/>
        <v>1</v>
      </c>
      <c r="HW60" s="128">
        <f t="shared" si="357"/>
        <v>0</v>
      </c>
      <c r="HX60" s="701" t="str">
        <f t="shared" si="435"/>
        <v/>
      </c>
      <c r="HY60" s="704" t="str">
        <f t="shared" si="358"/>
        <v/>
      </c>
      <c r="HZ60" s="701">
        <f t="shared" si="359"/>
        <v>1</v>
      </c>
      <c r="IA60" s="128">
        <f t="shared" si="360"/>
        <v>0</v>
      </c>
      <c r="IB60" s="701" t="str">
        <f t="shared" si="436"/>
        <v/>
      </c>
      <c r="IC60" s="704" t="str">
        <f t="shared" si="361"/>
        <v/>
      </c>
      <c r="ID60" s="701">
        <f t="shared" si="362"/>
        <v>1</v>
      </c>
      <c r="IE60" s="128">
        <f t="shared" si="363"/>
        <v>0</v>
      </c>
      <c r="IF60" s="701" t="str">
        <f t="shared" si="437"/>
        <v/>
      </c>
      <c r="IG60" s="704" t="str">
        <f t="shared" si="364"/>
        <v/>
      </c>
      <c r="IH60" s="701">
        <f t="shared" si="365"/>
        <v>1</v>
      </c>
      <c r="II60" s="128">
        <f t="shared" si="366"/>
        <v>0</v>
      </c>
      <c r="IJ60" s="701" t="str">
        <f t="shared" si="438"/>
        <v/>
      </c>
      <c r="IK60" s="704" t="str">
        <f t="shared" si="367"/>
        <v/>
      </c>
      <c r="IL60" s="701">
        <f t="shared" si="368"/>
        <v>1</v>
      </c>
      <c r="IM60" s="128">
        <f t="shared" si="369"/>
        <v>0</v>
      </c>
      <c r="IN60" s="701" t="str">
        <f t="shared" si="439"/>
        <v/>
      </c>
      <c r="IO60" s="704" t="str">
        <f t="shared" si="370"/>
        <v/>
      </c>
      <c r="IP60" s="701">
        <f t="shared" si="371"/>
        <v>1</v>
      </c>
      <c r="IQ60" s="128">
        <f t="shared" si="372"/>
        <v>0</v>
      </c>
      <c r="IR60" s="701" t="str">
        <f t="shared" si="440"/>
        <v/>
      </c>
      <c r="IS60" s="704" t="str">
        <f t="shared" si="373"/>
        <v/>
      </c>
      <c r="IT60" s="701">
        <f t="shared" si="374"/>
        <v>1</v>
      </c>
      <c r="IU60" s="128">
        <f t="shared" si="375"/>
        <v>0</v>
      </c>
      <c r="IV60" s="701" t="str">
        <f t="shared" si="441"/>
        <v/>
      </c>
      <c r="IW60" s="704" t="str">
        <f t="shared" si="376"/>
        <v/>
      </c>
      <c r="IX60" s="701">
        <f t="shared" si="377"/>
        <v>1</v>
      </c>
      <c r="IY60" s="128">
        <f t="shared" si="378"/>
        <v>0</v>
      </c>
    </row>
    <row r="61" spans="1:259" s="2" customFormat="1" ht="13.3" thickTop="1" thickBot="1" x14ac:dyDescent="0.35">
      <c r="D61" s="1"/>
      <c r="F61" s="1"/>
      <c r="G61" s="1"/>
      <c r="H61" s="1"/>
      <c r="J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M61" s="1"/>
      <c r="AN61" s="1"/>
      <c r="AO61" s="1"/>
      <c r="AP61" s="1"/>
      <c r="AT61" s="87" t="str">
        <f t="shared" si="443"/>
        <v/>
      </c>
      <c r="AU61" s="78" t="str">
        <f>IF($F32="","",IF($F32=$F$31,$AW$31,IF($F32=$F$33,$AW$33,IF($F32=$F$34,$AW$34,IF($F32=$F$35,$AW$35,IF($F32=$F$36,$AW$36,IF($F32=$F$37,$AW$37,"")))))))</f>
        <v/>
      </c>
      <c r="AV61" s="78" t="str">
        <f t="shared" si="250"/>
        <v/>
      </c>
      <c r="AW61" s="78" t="str">
        <f t="shared" si="251"/>
        <v/>
      </c>
      <c r="AX61" s="239">
        <f t="shared" si="252"/>
        <v>0</v>
      </c>
      <c r="AY61" s="239" t="str">
        <f t="shared" si="253"/>
        <v/>
      </c>
      <c r="AZ61" s="214" t="str">
        <f t="shared" si="254"/>
        <v/>
      </c>
      <c r="BA61" s="214" t="str">
        <f t="shared" si="255"/>
        <v/>
      </c>
      <c r="BB61" s="214" t="str">
        <f t="shared" si="256"/>
        <v/>
      </c>
      <c r="BC61" s="214" t="str">
        <f t="shared" si="257"/>
        <v/>
      </c>
      <c r="BD61" s="1322">
        <f t="shared" si="379"/>
        <v>8</v>
      </c>
      <c r="BE61" s="1"/>
      <c r="BF61" s="214" t="str">
        <f t="shared" si="258"/>
        <v/>
      </c>
      <c r="BG61" s="94">
        <f t="shared" si="259"/>
        <v>0</v>
      </c>
      <c r="BH61" s="94">
        <f t="shared" si="260"/>
        <v>0</v>
      </c>
      <c r="BI61" s="94">
        <f t="shared" si="261"/>
        <v>0</v>
      </c>
      <c r="BJ61" s="237">
        <f t="shared" si="380"/>
        <v>0</v>
      </c>
      <c r="BK61" s="237">
        <f t="shared" si="262"/>
        <v>0</v>
      </c>
      <c r="BL61" s="237">
        <f t="shared" si="263"/>
        <v>0</v>
      </c>
      <c r="BM61" s="237">
        <f t="shared" si="264"/>
        <v>0</v>
      </c>
      <c r="BN61" s="237">
        <f t="shared" si="265"/>
        <v>0</v>
      </c>
      <c r="BO61" s="237">
        <f t="shared" si="266"/>
        <v>0</v>
      </c>
      <c r="BP61" s="237">
        <f t="shared" si="267"/>
        <v>0</v>
      </c>
      <c r="BQ61" s="237">
        <f t="shared" si="268"/>
        <v>0</v>
      </c>
      <c r="BR61" s="237">
        <f t="shared" si="269"/>
        <v>0</v>
      </c>
      <c r="BS61" s="237">
        <f t="shared" si="270"/>
        <v>0</v>
      </c>
      <c r="BT61" s="237">
        <f t="shared" si="381"/>
        <v>0</v>
      </c>
      <c r="BU61" s="237">
        <f t="shared" si="382"/>
        <v>0</v>
      </c>
      <c r="BV61" s="237">
        <f t="shared" si="383"/>
        <v>0</v>
      </c>
      <c r="BW61" s="237">
        <f t="shared" si="384"/>
        <v>0</v>
      </c>
      <c r="BX61" s="237">
        <f t="shared" si="385"/>
        <v>0</v>
      </c>
      <c r="BY61" s="237">
        <f t="shared" si="386"/>
        <v>0</v>
      </c>
      <c r="BZ61" s="237">
        <f t="shared" si="387"/>
        <v>0</v>
      </c>
      <c r="CA61" s="237">
        <f t="shared" si="388"/>
        <v>0</v>
      </c>
      <c r="CB61" s="237">
        <f t="shared" si="389"/>
        <v>0</v>
      </c>
      <c r="CC61" s="237">
        <f t="shared" si="390"/>
        <v>0</v>
      </c>
      <c r="CD61" s="237">
        <f t="shared" si="391"/>
        <v>0</v>
      </c>
      <c r="CE61" s="237">
        <f t="shared" si="392"/>
        <v>0</v>
      </c>
      <c r="CF61" s="237">
        <f t="shared" si="393"/>
        <v>0</v>
      </c>
      <c r="CG61" s="237">
        <f t="shared" si="394"/>
        <v>0</v>
      </c>
      <c r="CH61" s="237">
        <f t="shared" si="395"/>
        <v>0</v>
      </c>
      <c r="CI61" s="3"/>
      <c r="CJ61" s="3"/>
      <c r="CK61" s="1"/>
      <c r="CL61" s="1"/>
      <c r="CM61" s="1"/>
      <c r="CN61" s="1"/>
      <c r="CO61" s="1"/>
      <c r="CP61" s="1"/>
      <c r="CQ61" s="1"/>
      <c r="CR61" s="524">
        <f t="shared" si="396"/>
        <v>0</v>
      </c>
      <c r="CT61" s="495" t="str">
        <f t="shared" si="397"/>
        <v/>
      </c>
      <c r="CU61" s="496" t="str">
        <f t="shared" si="398"/>
        <v/>
      </c>
      <c r="CV61" s="496" t="str">
        <f t="shared" si="399"/>
        <v/>
      </c>
      <c r="CW61" s="1"/>
      <c r="CX61" s="1026" t="str">
        <f t="shared" si="271"/>
        <v/>
      </c>
      <c r="CY61" s="1026" t="str">
        <f t="shared" si="272"/>
        <v/>
      </c>
      <c r="CZ61" s="1473" t="str">
        <f t="shared" si="273"/>
        <v/>
      </c>
      <c r="DA61" s="1473" t="str">
        <f t="shared" si="274"/>
        <v/>
      </c>
      <c r="DB61" s="1474" t="str">
        <f t="shared" si="275"/>
        <v/>
      </c>
      <c r="DC61" s="1474" t="str">
        <f t="shared" si="276"/>
        <v/>
      </c>
      <c r="DD61" s="1473" t="str">
        <f t="shared" si="400"/>
        <v/>
      </c>
      <c r="DE61" s="1473" t="str">
        <f t="shared" si="401"/>
        <v/>
      </c>
      <c r="DF61" s="1476" t="str">
        <f t="shared" si="277"/>
        <v/>
      </c>
      <c r="DG61" s="1476" t="str">
        <f t="shared" si="278"/>
        <v/>
      </c>
      <c r="DJ61" s="93" t="str">
        <f t="shared" si="402"/>
        <v/>
      </c>
      <c r="DK61" s="93" t="str">
        <f t="shared" si="403"/>
        <v/>
      </c>
      <c r="DL61" s="93">
        <f t="shared" si="404"/>
        <v>0</v>
      </c>
      <c r="DM61" s="93" t="str">
        <f t="shared" si="279"/>
        <v/>
      </c>
      <c r="DN61" s="33">
        <v>8</v>
      </c>
      <c r="DO61" s="93" t="str">
        <f t="shared" si="280"/>
        <v/>
      </c>
      <c r="DP61" s="1"/>
      <c r="DQ61" s="33">
        <v>8</v>
      </c>
      <c r="DR61" s="1486" t="str">
        <f t="shared" si="405"/>
        <v/>
      </c>
      <c r="DS61" s="144" t="str">
        <f t="shared" si="281"/>
        <v/>
      </c>
      <c r="DT61" s="144" t="str">
        <f t="shared" si="282"/>
        <v/>
      </c>
      <c r="DU61" s="144" t="str">
        <f t="shared" si="283"/>
        <v/>
      </c>
      <c r="DV61" s="144" t="str">
        <f t="shared" si="284"/>
        <v/>
      </c>
      <c r="DW61" s="144" t="str">
        <f t="shared" si="285"/>
        <v/>
      </c>
      <c r="DX61" s="144" t="str">
        <f t="shared" si="286"/>
        <v/>
      </c>
      <c r="DY61" s="144" t="str">
        <f t="shared" si="287"/>
        <v/>
      </c>
      <c r="DZ61" s="144" t="str">
        <f t="shared" si="288"/>
        <v/>
      </c>
      <c r="EA61" s="144" t="str">
        <f t="shared" si="289"/>
        <v/>
      </c>
      <c r="EB61" s="144" t="str">
        <f t="shared" si="290"/>
        <v/>
      </c>
      <c r="EC61" s="144" t="str">
        <f t="shared" si="291"/>
        <v/>
      </c>
      <c r="ED61" s="144" t="str">
        <f t="shared" si="292"/>
        <v/>
      </c>
      <c r="EE61" s="144" t="str">
        <f t="shared" si="293"/>
        <v/>
      </c>
      <c r="EF61" s="144" t="str">
        <f t="shared" si="294"/>
        <v/>
      </c>
      <c r="EG61" s="144" t="str">
        <f t="shared" si="295"/>
        <v/>
      </c>
      <c r="EH61" s="144" t="str">
        <f t="shared" si="296"/>
        <v/>
      </c>
      <c r="EI61" s="144" t="str">
        <f t="shared" si="297"/>
        <v/>
      </c>
      <c r="EJ61" s="144" t="str">
        <f t="shared" si="298"/>
        <v/>
      </c>
      <c r="EK61" s="144" t="str">
        <f t="shared" si="299"/>
        <v/>
      </c>
      <c r="EL61" s="144" t="str">
        <f t="shared" si="300"/>
        <v/>
      </c>
      <c r="EM61" s="144" t="str">
        <f t="shared" si="301"/>
        <v/>
      </c>
      <c r="EN61" s="720" t="str">
        <f t="shared" si="302"/>
        <v/>
      </c>
      <c r="EO61" s="720" t="str">
        <f t="shared" si="303"/>
        <v/>
      </c>
      <c r="EP61" s="720" t="str">
        <f t="shared" si="304"/>
        <v/>
      </c>
      <c r="EQ61" s="720" t="str">
        <f t="shared" si="305"/>
        <v/>
      </c>
      <c r="ER61" s="720" t="str">
        <f t="shared" si="306"/>
        <v/>
      </c>
      <c r="ES61" s="1460">
        <f t="shared" si="406"/>
        <v>0</v>
      </c>
      <c r="ET61" s="201">
        <f t="shared" si="407"/>
        <v>26</v>
      </c>
      <c r="EU61" s="137" t="str">
        <f t="shared" si="408"/>
        <v/>
      </c>
      <c r="EV61" s="290" t="str">
        <f t="shared" si="307"/>
        <v/>
      </c>
      <c r="EW61" s="290" t="str">
        <f t="shared" si="308"/>
        <v/>
      </c>
      <c r="EX61" s="725" t="str">
        <f>IF(OR(FF61="",FG61=""),"",IF(H32&gt;=1,EY61+ES61+FD61,""))</f>
        <v/>
      </c>
      <c r="EY61" s="1322">
        <f t="shared" si="310"/>
        <v>0</v>
      </c>
      <c r="EZ61" s="201">
        <f t="shared" si="409"/>
        <v>25</v>
      </c>
      <c r="FA61" s="1467" t="str">
        <f t="shared" si="410"/>
        <v/>
      </c>
      <c r="FB61" s="216" t="str">
        <f t="shared" si="411"/>
        <v/>
      </c>
      <c r="FC61" s="795" t="str" cm="1">
        <f t="array" ref="FC61">IF($FB61="","",INDEX($H$25:$H$49,$DN32))</f>
        <v/>
      </c>
      <c r="FD61" s="234" t="str">
        <f>IF(OR(FF61="",FG61=""),"",IF(AND(Q32&lt;&gt;"",$EV$53&lt;&gt;"",D32&lt;&gt;"s",H32&gt;=$AU$7,B32="nc"),Q32,FE61+FK61+FO61+FS61+FW61+GA61+GE61+GI61+GM61+GQ61+GU61+GY61+HC61+HG61+HK61+HO61+HS61+HW61+IA61+IE61+II61+IM61+IQ61+IU61+IY61))</f>
        <v/>
      </c>
      <c r="FE61" s="90">
        <f t="shared" si="311"/>
        <v>0</v>
      </c>
      <c r="FF61" s="711" t="str">
        <f t="shared" si="413"/>
        <v/>
      </c>
      <c r="FG61" s="712" t="str">
        <f t="shared" si="413"/>
        <v/>
      </c>
      <c r="FH61" s="701" t="str">
        <f t="shared" ref="FH61:FH78" si="444">IF(OR(FG61=0,COUNTIF($FF$54:$FF$78,FG61)=0),"",IF(FG61=$EV$53,$BA$23,MATCH(FG61,$FF$54:$FF$78,0)))</f>
        <v/>
      </c>
      <c r="FI61" s="704" t="str">
        <f t="shared" si="312"/>
        <v/>
      </c>
      <c r="FJ61" s="701">
        <f t="shared" si="313"/>
        <v>1</v>
      </c>
      <c r="FK61" s="128">
        <f t="shared" si="414"/>
        <v>0</v>
      </c>
      <c r="FL61" s="701" t="str">
        <f t="shared" si="415"/>
        <v/>
      </c>
      <c r="FM61" s="704" t="str">
        <f t="shared" si="314"/>
        <v/>
      </c>
      <c r="FN61" s="701">
        <f t="shared" si="315"/>
        <v>1</v>
      </c>
      <c r="FO61" s="128">
        <f t="shared" si="316"/>
        <v>0</v>
      </c>
      <c r="FP61" s="701" t="str">
        <f t="shared" si="416"/>
        <v/>
      </c>
      <c r="FQ61" s="704" t="str">
        <f t="shared" si="317"/>
        <v/>
      </c>
      <c r="FR61" s="701">
        <f t="shared" si="417"/>
        <v>1</v>
      </c>
      <c r="FS61" s="128">
        <f t="shared" si="318"/>
        <v>0</v>
      </c>
      <c r="FT61" s="701" t="str">
        <f t="shared" si="418"/>
        <v/>
      </c>
      <c r="FU61" s="704" t="str">
        <f t="shared" si="319"/>
        <v/>
      </c>
      <c r="FV61" s="701">
        <f t="shared" si="419"/>
        <v>1</v>
      </c>
      <c r="FW61" s="128">
        <f t="shared" si="320"/>
        <v>0</v>
      </c>
      <c r="FX61" s="701" t="str">
        <f t="shared" si="420"/>
        <v/>
      </c>
      <c r="FY61" s="704" t="str">
        <f t="shared" si="321"/>
        <v/>
      </c>
      <c r="FZ61" s="701">
        <f t="shared" si="421"/>
        <v>1</v>
      </c>
      <c r="GA61" s="128">
        <f t="shared" si="322"/>
        <v>0</v>
      </c>
      <c r="GB61" s="701" t="str">
        <f t="shared" si="422"/>
        <v/>
      </c>
      <c r="GC61" s="704" t="str">
        <f t="shared" si="323"/>
        <v/>
      </c>
      <c r="GD61" s="701">
        <f t="shared" si="423"/>
        <v>1</v>
      </c>
      <c r="GE61" s="128">
        <f t="shared" si="324"/>
        <v>0</v>
      </c>
      <c r="GF61" s="701" t="str">
        <f t="shared" si="424"/>
        <v/>
      </c>
      <c r="GG61" s="704" t="str">
        <f t="shared" si="325"/>
        <v/>
      </c>
      <c r="GH61" s="701">
        <f t="shared" si="326"/>
        <v>1</v>
      </c>
      <c r="GI61" s="128">
        <f t="shared" si="327"/>
        <v>0</v>
      </c>
      <c r="GJ61" s="701" t="str">
        <f t="shared" si="425"/>
        <v/>
      </c>
      <c r="GK61" s="704" t="str">
        <f t="shared" si="328"/>
        <v/>
      </c>
      <c r="GL61" s="701">
        <f t="shared" si="329"/>
        <v>1</v>
      </c>
      <c r="GM61" s="128">
        <f t="shared" si="330"/>
        <v>0</v>
      </c>
      <c r="GN61" s="701" t="str">
        <f t="shared" si="426"/>
        <v/>
      </c>
      <c r="GO61" s="704" t="str">
        <f t="shared" si="331"/>
        <v/>
      </c>
      <c r="GP61" s="701">
        <f t="shared" si="332"/>
        <v>1</v>
      </c>
      <c r="GQ61" s="128">
        <f t="shared" si="333"/>
        <v>0</v>
      </c>
      <c r="GR61" s="701" t="str">
        <f t="shared" si="427"/>
        <v/>
      </c>
      <c r="GS61" s="704" t="str">
        <f t="shared" si="334"/>
        <v/>
      </c>
      <c r="GT61" s="701">
        <f t="shared" si="335"/>
        <v>1</v>
      </c>
      <c r="GU61" s="128">
        <f t="shared" si="336"/>
        <v>0</v>
      </c>
      <c r="GV61" s="701" t="str">
        <f t="shared" si="428"/>
        <v/>
      </c>
      <c r="GW61" s="704" t="str">
        <f t="shared" si="337"/>
        <v/>
      </c>
      <c r="GX61" s="701">
        <f t="shared" si="338"/>
        <v>1</v>
      </c>
      <c r="GY61" s="128">
        <f t="shared" si="339"/>
        <v>0</v>
      </c>
      <c r="GZ61" s="701" t="str">
        <f t="shared" si="429"/>
        <v/>
      </c>
      <c r="HA61" s="704" t="str">
        <f t="shared" si="340"/>
        <v/>
      </c>
      <c r="HB61" s="701">
        <f t="shared" si="341"/>
        <v>1</v>
      </c>
      <c r="HC61" s="128">
        <f t="shared" si="342"/>
        <v>0</v>
      </c>
      <c r="HD61" s="701" t="str">
        <f t="shared" si="430"/>
        <v/>
      </c>
      <c r="HE61" s="704" t="str">
        <f t="shared" si="343"/>
        <v/>
      </c>
      <c r="HF61" s="701">
        <f t="shared" si="344"/>
        <v>1</v>
      </c>
      <c r="HG61" s="128">
        <f t="shared" si="345"/>
        <v>0</v>
      </c>
      <c r="HH61" s="701" t="str">
        <f t="shared" si="431"/>
        <v/>
      </c>
      <c r="HI61" s="704" t="str">
        <f t="shared" si="346"/>
        <v/>
      </c>
      <c r="HJ61" s="701">
        <f t="shared" si="347"/>
        <v>1</v>
      </c>
      <c r="HK61" s="128">
        <f t="shared" si="348"/>
        <v>0</v>
      </c>
      <c r="HL61" s="701" t="str">
        <f t="shared" si="432"/>
        <v/>
      </c>
      <c r="HM61" s="704" t="str">
        <f t="shared" si="349"/>
        <v/>
      </c>
      <c r="HN61" s="701">
        <f t="shared" si="350"/>
        <v>1</v>
      </c>
      <c r="HO61" s="128">
        <f t="shared" si="351"/>
        <v>0</v>
      </c>
      <c r="HP61" s="701" t="str">
        <f t="shared" si="433"/>
        <v/>
      </c>
      <c r="HQ61" s="704" t="str">
        <f t="shared" si="352"/>
        <v/>
      </c>
      <c r="HR61" s="701">
        <f t="shared" si="353"/>
        <v>1</v>
      </c>
      <c r="HS61" s="128">
        <f t="shared" si="354"/>
        <v>0</v>
      </c>
      <c r="HT61" s="701" t="str">
        <f t="shared" si="434"/>
        <v/>
      </c>
      <c r="HU61" s="704" t="str">
        <f t="shared" si="355"/>
        <v/>
      </c>
      <c r="HV61" s="701">
        <f t="shared" si="356"/>
        <v>1</v>
      </c>
      <c r="HW61" s="128">
        <f t="shared" si="357"/>
        <v>0</v>
      </c>
      <c r="HX61" s="701" t="str">
        <f t="shared" si="435"/>
        <v/>
      </c>
      <c r="HY61" s="704" t="str">
        <f t="shared" si="358"/>
        <v/>
      </c>
      <c r="HZ61" s="701">
        <f t="shared" si="359"/>
        <v>1</v>
      </c>
      <c r="IA61" s="128">
        <f t="shared" si="360"/>
        <v>0</v>
      </c>
      <c r="IB61" s="701" t="str">
        <f t="shared" si="436"/>
        <v/>
      </c>
      <c r="IC61" s="704" t="str">
        <f t="shared" si="361"/>
        <v/>
      </c>
      <c r="ID61" s="701">
        <f t="shared" si="362"/>
        <v>1</v>
      </c>
      <c r="IE61" s="128">
        <f t="shared" si="363"/>
        <v>0</v>
      </c>
      <c r="IF61" s="701" t="str">
        <f t="shared" si="437"/>
        <v/>
      </c>
      <c r="IG61" s="704" t="str">
        <f t="shared" si="364"/>
        <v/>
      </c>
      <c r="IH61" s="701">
        <f t="shared" si="365"/>
        <v>1</v>
      </c>
      <c r="II61" s="128">
        <f t="shared" si="366"/>
        <v>0</v>
      </c>
      <c r="IJ61" s="701" t="str">
        <f t="shared" si="438"/>
        <v/>
      </c>
      <c r="IK61" s="704" t="str">
        <f t="shared" si="367"/>
        <v/>
      </c>
      <c r="IL61" s="701">
        <f t="shared" si="368"/>
        <v>1</v>
      </c>
      <c r="IM61" s="128">
        <f t="shared" si="369"/>
        <v>0</v>
      </c>
      <c r="IN61" s="701" t="str">
        <f t="shared" si="439"/>
        <v/>
      </c>
      <c r="IO61" s="704" t="str">
        <f t="shared" si="370"/>
        <v/>
      </c>
      <c r="IP61" s="701">
        <f t="shared" si="371"/>
        <v>1</v>
      </c>
      <c r="IQ61" s="128">
        <f t="shared" si="372"/>
        <v>0</v>
      </c>
      <c r="IR61" s="701" t="str">
        <f t="shared" si="440"/>
        <v/>
      </c>
      <c r="IS61" s="704" t="str">
        <f t="shared" si="373"/>
        <v/>
      </c>
      <c r="IT61" s="701">
        <f t="shared" si="374"/>
        <v>1</v>
      </c>
      <c r="IU61" s="128">
        <f t="shared" si="375"/>
        <v>0</v>
      </c>
      <c r="IV61" s="701" t="str">
        <f t="shared" si="441"/>
        <v/>
      </c>
      <c r="IW61" s="704" t="str">
        <f t="shared" si="376"/>
        <v/>
      </c>
      <c r="IX61" s="701">
        <f t="shared" si="377"/>
        <v>1</v>
      </c>
      <c r="IY61" s="128">
        <f t="shared" si="378"/>
        <v>0</v>
      </c>
    </row>
    <row r="62" spans="1:259" s="2" customFormat="1" ht="13.3" thickTop="1" thickBot="1" x14ac:dyDescent="0.35">
      <c r="D62" s="1"/>
      <c r="F62" s="1"/>
      <c r="G62" s="1"/>
      <c r="H62" s="1325"/>
      <c r="J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M62" s="1"/>
      <c r="AN62" s="1"/>
      <c r="AO62" s="1"/>
      <c r="AP62" s="1"/>
      <c r="AQ62" s="1"/>
      <c r="AT62" s="87" t="str">
        <f t="shared" si="443"/>
        <v/>
      </c>
      <c r="AU62" s="78" t="str">
        <f>IF($F33="","",IF($F33=$F$31,$AW$31,IF($F33=$F$32,$AW$32,IF($F33=$F$34,$AW$34,IF($F33=$F$35,$AW$35,IF($F33=$F$36,$AW$36,IF($F33=$F$37,$AW$37,"")))))))</f>
        <v/>
      </c>
      <c r="AV62" s="78" t="str">
        <f t="shared" si="250"/>
        <v/>
      </c>
      <c r="AW62" s="78" t="str">
        <f t="shared" si="251"/>
        <v/>
      </c>
      <c r="AX62" s="239">
        <f t="shared" si="252"/>
        <v>0</v>
      </c>
      <c r="AY62" s="239" t="str">
        <f t="shared" si="253"/>
        <v/>
      </c>
      <c r="AZ62" s="214" t="str">
        <f t="shared" si="254"/>
        <v/>
      </c>
      <c r="BA62" s="214" t="str">
        <f t="shared" si="255"/>
        <v/>
      </c>
      <c r="BB62" s="214" t="str">
        <f t="shared" si="256"/>
        <v/>
      </c>
      <c r="BC62" s="214" t="str">
        <f>IF(OR($BB62="",$DT62=""),"",25-COUNTBLANK($DT62:$ER62))</f>
        <v/>
      </c>
      <c r="BD62" s="1322">
        <f t="shared" si="379"/>
        <v>9</v>
      </c>
      <c r="BE62" s="1"/>
      <c r="BF62" s="214" t="str">
        <f t="shared" si="258"/>
        <v/>
      </c>
      <c r="BG62" s="94">
        <f t="shared" si="259"/>
        <v>0</v>
      </c>
      <c r="BH62" s="94">
        <f t="shared" si="260"/>
        <v>0</v>
      </c>
      <c r="BI62" s="94">
        <f t="shared" si="261"/>
        <v>0</v>
      </c>
      <c r="BJ62" s="237">
        <f t="shared" si="380"/>
        <v>0</v>
      </c>
      <c r="BK62" s="237">
        <f t="shared" si="262"/>
        <v>0</v>
      </c>
      <c r="BL62" s="237">
        <f t="shared" si="263"/>
        <v>0</v>
      </c>
      <c r="BM62" s="237">
        <f t="shared" si="264"/>
        <v>0</v>
      </c>
      <c r="BN62" s="237">
        <f t="shared" si="265"/>
        <v>0</v>
      </c>
      <c r="BO62" s="237">
        <f t="shared" si="266"/>
        <v>0</v>
      </c>
      <c r="BP62" s="237">
        <f t="shared" si="267"/>
        <v>0</v>
      </c>
      <c r="BQ62" s="237">
        <f t="shared" si="268"/>
        <v>0</v>
      </c>
      <c r="BR62" s="237">
        <f t="shared" si="269"/>
        <v>0</v>
      </c>
      <c r="BS62" s="237">
        <f t="shared" si="270"/>
        <v>0</v>
      </c>
      <c r="BT62" s="237">
        <f t="shared" si="381"/>
        <v>0</v>
      </c>
      <c r="BU62" s="237">
        <f t="shared" si="382"/>
        <v>0</v>
      </c>
      <c r="BV62" s="237">
        <f t="shared" si="383"/>
        <v>0</v>
      </c>
      <c r="BW62" s="237">
        <f t="shared" si="384"/>
        <v>0</v>
      </c>
      <c r="BX62" s="237">
        <f t="shared" si="385"/>
        <v>0</v>
      </c>
      <c r="BY62" s="237">
        <f t="shared" si="386"/>
        <v>0</v>
      </c>
      <c r="BZ62" s="237">
        <f t="shared" si="387"/>
        <v>0</v>
      </c>
      <c r="CA62" s="237">
        <f t="shared" si="388"/>
        <v>0</v>
      </c>
      <c r="CB62" s="237">
        <f t="shared" si="389"/>
        <v>0</v>
      </c>
      <c r="CC62" s="237">
        <f t="shared" si="390"/>
        <v>0</v>
      </c>
      <c r="CD62" s="237">
        <f t="shared" si="391"/>
        <v>0</v>
      </c>
      <c r="CE62" s="237">
        <f t="shared" si="392"/>
        <v>0</v>
      </c>
      <c r="CF62" s="237">
        <f t="shared" si="393"/>
        <v>0</v>
      </c>
      <c r="CG62" s="237">
        <f t="shared" si="394"/>
        <v>0</v>
      </c>
      <c r="CH62" s="237">
        <f t="shared" si="395"/>
        <v>0</v>
      </c>
      <c r="CI62" s="3"/>
      <c r="CJ62" s="3"/>
      <c r="CK62" s="1"/>
      <c r="CL62" s="1"/>
      <c r="CM62" s="1"/>
      <c r="CN62" s="1"/>
      <c r="CO62" s="1"/>
      <c r="CP62" s="1"/>
      <c r="CQ62" s="1"/>
      <c r="CR62" s="524">
        <f t="shared" si="396"/>
        <v>0</v>
      </c>
      <c r="CT62" s="495" t="str">
        <f t="shared" si="397"/>
        <v/>
      </c>
      <c r="CU62" s="496" t="str">
        <f t="shared" si="398"/>
        <v/>
      </c>
      <c r="CV62" s="496" t="str">
        <f t="shared" si="399"/>
        <v/>
      </c>
      <c r="CW62" s="1"/>
      <c r="CX62" s="1026" t="str">
        <f t="shared" si="271"/>
        <v/>
      </c>
      <c r="CY62" s="1026" t="str">
        <f t="shared" si="272"/>
        <v/>
      </c>
      <c r="CZ62" s="1473" t="str">
        <f t="shared" si="273"/>
        <v/>
      </c>
      <c r="DA62" s="1473" t="str">
        <f t="shared" si="274"/>
        <v/>
      </c>
      <c r="DB62" s="1474" t="str">
        <f t="shared" si="275"/>
        <v/>
      </c>
      <c r="DC62" s="1474" t="str">
        <f t="shared" si="276"/>
        <v/>
      </c>
      <c r="DD62" s="1473" t="str">
        <f t="shared" si="400"/>
        <v/>
      </c>
      <c r="DE62" s="1473" t="str">
        <f t="shared" si="401"/>
        <v/>
      </c>
      <c r="DF62" s="1476" t="str">
        <f t="shared" si="277"/>
        <v/>
      </c>
      <c r="DG62" s="1476" t="str">
        <f t="shared" si="278"/>
        <v/>
      </c>
      <c r="DJ62" s="93" t="str">
        <f t="shared" si="402"/>
        <v/>
      </c>
      <c r="DK62" s="93" t="str">
        <f t="shared" si="403"/>
        <v/>
      </c>
      <c r="DL62" s="93">
        <f t="shared" si="404"/>
        <v>0</v>
      </c>
      <c r="DM62" s="93" t="str">
        <f t="shared" si="279"/>
        <v/>
      </c>
      <c r="DN62" s="33">
        <v>9</v>
      </c>
      <c r="DO62" s="93" t="str">
        <f t="shared" si="280"/>
        <v/>
      </c>
      <c r="DP62" s="1"/>
      <c r="DQ62" s="33">
        <v>9</v>
      </c>
      <c r="DR62" s="1486" t="str">
        <f t="shared" si="405"/>
        <v/>
      </c>
      <c r="DS62" s="144" t="str">
        <f t="shared" si="281"/>
        <v/>
      </c>
      <c r="DT62" s="144" t="str">
        <f t="shared" si="282"/>
        <v/>
      </c>
      <c r="DU62" s="144" t="str">
        <f t="shared" si="283"/>
        <v/>
      </c>
      <c r="DV62" s="144" t="str">
        <f t="shared" si="284"/>
        <v/>
      </c>
      <c r="DW62" s="144" t="str">
        <f t="shared" si="285"/>
        <v/>
      </c>
      <c r="DX62" s="144" t="str">
        <f t="shared" si="286"/>
        <v/>
      </c>
      <c r="DY62" s="144" t="str">
        <f t="shared" si="287"/>
        <v/>
      </c>
      <c r="DZ62" s="144" t="str">
        <f t="shared" si="288"/>
        <v/>
      </c>
      <c r="EA62" s="144" t="str">
        <f t="shared" si="289"/>
        <v/>
      </c>
      <c r="EB62" s="144" t="str">
        <f t="shared" si="290"/>
        <v/>
      </c>
      <c r="EC62" s="144" t="str">
        <f t="shared" si="291"/>
        <v/>
      </c>
      <c r="ED62" s="144" t="str">
        <f t="shared" si="292"/>
        <v/>
      </c>
      <c r="EE62" s="144" t="str">
        <f t="shared" si="293"/>
        <v/>
      </c>
      <c r="EF62" s="144" t="str">
        <f t="shared" si="294"/>
        <v/>
      </c>
      <c r="EG62" s="144" t="str">
        <f t="shared" si="295"/>
        <v/>
      </c>
      <c r="EH62" s="144" t="str">
        <f t="shared" si="296"/>
        <v/>
      </c>
      <c r="EI62" s="144" t="str">
        <f t="shared" si="297"/>
        <v/>
      </c>
      <c r="EJ62" s="144" t="str">
        <f t="shared" si="298"/>
        <v/>
      </c>
      <c r="EK62" s="144" t="str">
        <f t="shared" si="299"/>
        <v/>
      </c>
      <c r="EL62" s="144" t="str">
        <f t="shared" si="300"/>
        <v/>
      </c>
      <c r="EM62" s="144" t="str">
        <f t="shared" si="301"/>
        <v/>
      </c>
      <c r="EN62" s="720" t="str">
        <f t="shared" si="302"/>
        <v/>
      </c>
      <c r="EO62" s="720" t="str">
        <f t="shared" si="303"/>
        <v/>
      </c>
      <c r="EP62" s="720" t="str">
        <f t="shared" si="304"/>
        <v/>
      </c>
      <c r="EQ62" s="720" t="str">
        <f t="shared" si="305"/>
        <v/>
      </c>
      <c r="ER62" s="720" t="str">
        <f t="shared" si="306"/>
        <v/>
      </c>
      <c r="ES62" s="1460">
        <f t="shared" si="406"/>
        <v>0</v>
      </c>
      <c r="ET62" s="201">
        <f t="shared" si="407"/>
        <v>26</v>
      </c>
      <c r="EU62" s="137" t="str">
        <f t="shared" si="408"/>
        <v/>
      </c>
      <c r="EV62" s="290" t="str">
        <f t="shared" si="307"/>
        <v/>
      </c>
      <c r="EW62" s="290" t="str">
        <f t="shared" si="308"/>
        <v/>
      </c>
      <c r="EX62" s="725" t="str">
        <f>IF(OR(FF62="",FG62=""),"",IF(H33&gt;=1,EY62+ES62+FD62,""))</f>
        <v/>
      </c>
      <c r="EY62" s="1322">
        <f t="shared" si="310"/>
        <v>0</v>
      </c>
      <c r="EZ62" s="201">
        <f t="shared" si="409"/>
        <v>25</v>
      </c>
      <c r="FA62" s="1467" t="str">
        <f t="shared" si="410"/>
        <v/>
      </c>
      <c r="FB62" s="216" t="str">
        <f t="shared" si="411"/>
        <v/>
      </c>
      <c r="FC62" s="795" t="str" cm="1">
        <f t="array" ref="FC62">IF($FB62="","",INDEX($H$25:$H$49,$DN33))</f>
        <v/>
      </c>
      <c r="FD62" s="234" t="str">
        <f t="shared" si="412"/>
        <v/>
      </c>
      <c r="FE62" s="90">
        <f t="shared" si="311"/>
        <v>0</v>
      </c>
      <c r="FF62" s="711" t="str">
        <f t="shared" si="413"/>
        <v/>
      </c>
      <c r="FG62" s="712" t="str">
        <f t="shared" si="413"/>
        <v/>
      </c>
      <c r="FH62" s="701" t="str">
        <f t="shared" si="444"/>
        <v/>
      </c>
      <c r="FI62" s="704" t="str">
        <f t="shared" si="312"/>
        <v/>
      </c>
      <c r="FJ62" s="701">
        <f t="shared" si="313"/>
        <v>1</v>
      </c>
      <c r="FK62" s="128">
        <f t="shared" si="414"/>
        <v>0</v>
      </c>
      <c r="FL62" s="701" t="str">
        <f t="shared" si="415"/>
        <v/>
      </c>
      <c r="FM62" s="704" t="str">
        <f t="shared" si="314"/>
        <v/>
      </c>
      <c r="FN62" s="701">
        <f t="shared" si="315"/>
        <v>1</v>
      </c>
      <c r="FO62" s="128">
        <f t="shared" si="316"/>
        <v>0</v>
      </c>
      <c r="FP62" s="701" t="str">
        <f t="shared" si="416"/>
        <v/>
      </c>
      <c r="FQ62" s="704" t="str">
        <f t="shared" si="317"/>
        <v/>
      </c>
      <c r="FR62" s="701">
        <f t="shared" si="417"/>
        <v>1</v>
      </c>
      <c r="FS62" s="128">
        <f t="shared" si="318"/>
        <v>0</v>
      </c>
      <c r="FT62" s="701" t="str">
        <f t="shared" si="418"/>
        <v/>
      </c>
      <c r="FU62" s="704" t="str">
        <f t="shared" si="319"/>
        <v/>
      </c>
      <c r="FV62" s="701">
        <f t="shared" si="419"/>
        <v>1</v>
      </c>
      <c r="FW62" s="128">
        <f t="shared" si="320"/>
        <v>0</v>
      </c>
      <c r="FX62" s="701" t="str">
        <f t="shared" si="420"/>
        <v/>
      </c>
      <c r="FY62" s="704" t="str">
        <f t="shared" si="321"/>
        <v/>
      </c>
      <c r="FZ62" s="701">
        <f t="shared" si="421"/>
        <v>1</v>
      </c>
      <c r="GA62" s="128">
        <f t="shared" si="322"/>
        <v>0</v>
      </c>
      <c r="GB62" s="701" t="str">
        <f t="shared" si="422"/>
        <v/>
      </c>
      <c r="GC62" s="704" t="str">
        <f t="shared" si="323"/>
        <v/>
      </c>
      <c r="GD62" s="701">
        <f t="shared" si="423"/>
        <v>1</v>
      </c>
      <c r="GE62" s="128">
        <f t="shared" si="324"/>
        <v>0</v>
      </c>
      <c r="GF62" s="701" t="str">
        <f t="shared" si="424"/>
        <v/>
      </c>
      <c r="GG62" s="704" t="str">
        <f t="shared" si="325"/>
        <v/>
      </c>
      <c r="GH62" s="701">
        <f t="shared" si="326"/>
        <v>1</v>
      </c>
      <c r="GI62" s="128">
        <f t="shared" si="327"/>
        <v>0</v>
      </c>
      <c r="GJ62" s="701" t="str">
        <f t="shared" si="425"/>
        <v/>
      </c>
      <c r="GK62" s="704" t="str">
        <f t="shared" si="328"/>
        <v/>
      </c>
      <c r="GL62" s="701">
        <f t="shared" si="329"/>
        <v>1</v>
      </c>
      <c r="GM62" s="128">
        <f t="shared" si="330"/>
        <v>0</v>
      </c>
      <c r="GN62" s="701" t="str">
        <f t="shared" si="426"/>
        <v/>
      </c>
      <c r="GO62" s="704" t="str">
        <f t="shared" si="331"/>
        <v/>
      </c>
      <c r="GP62" s="701">
        <f t="shared" si="332"/>
        <v>1</v>
      </c>
      <c r="GQ62" s="128">
        <f t="shared" si="333"/>
        <v>0</v>
      </c>
      <c r="GR62" s="701" t="str">
        <f t="shared" si="427"/>
        <v/>
      </c>
      <c r="GS62" s="704" t="str">
        <f t="shared" si="334"/>
        <v/>
      </c>
      <c r="GT62" s="701">
        <f t="shared" si="335"/>
        <v>1</v>
      </c>
      <c r="GU62" s="128">
        <f t="shared" si="336"/>
        <v>0</v>
      </c>
      <c r="GV62" s="701" t="str">
        <f t="shared" si="428"/>
        <v/>
      </c>
      <c r="GW62" s="704" t="str">
        <f t="shared" si="337"/>
        <v/>
      </c>
      <c r="GX62" s="701">
        <f t="shared" si="338"/>
        <v>1</v>
      </c>
      <c r="GY62" s="128">
        <f t="shared" si="339"/>
        <v>0</v>
      </c>
      <c r="GZ62" s="701" t="str">
        <f t="shared" si="429"/>
        <v/>
      </c>
      <c r="HA62" s="704" t="str">
        <f t="shared" si="340"/>
        <v/>
      </c>
      <c r="HB62" s="701">
        <f t="shared" si="341"/>
        <v>1</v>
      </c>
      <c r="HC62" s="128">
        <f t="shared" si="342"/>
        <v>0</v>
      </c>
      <c r="HD62" s="701" t="str">
        <f t="shared" si="430"/>
        <v/>
      </c>
      <c r="HE62" s="704" t="str">
        <f t="shared" si="343"/>
        <v/>
      </c>
      <c r="HF62" s="701">
        <f t="shared" si="344"/>
        <v>1</v>
      </c>
      <c r="HG62" s="128">
        <f t="shared" si="345"/>
        <v>0</v>
      </c>
      <c r="HH62" s="701" t="str">
        <f t="shared" si="431"/>
        <v/>
      </c>
      <c r="HI62" s="704" t="str">
        <f t="shared" si="346"/>
        <v/>
      </c>
      <c r="HJ62" s="701">
        <f t="shared" si="347"/>
        <v>1</v>
      </c>
      <c r="HK62" s="128">
        <f t="shared" si="348"/>
        <v>0</v>
      </c>
      <c r="HL62" s="701" t="str">
        <f t="shared" si="432"/>
        <v/>
      </c>
      <c r="HM62" s="704" t="str">
        <f t="shared" si="349"/>
        <v/>
      </c>
      <c r="HN62" s="701">
        <f t="shared" si="350"/>
        <v>1</v>
      </c>
      <c r="HO62" s="128">
        <f t="shared" si="351"/>
        <v>0</v>
      </c>
      <c r="HP62" s="701" t="str">
        <f t="shared" si="433"/>
        <v/>
      </c>
      <c r="HQ62" s="704" t="str">
        <f t="shared" si="352"/>
        <v/>
      </c>
      <c r="HR62" s="701">
        <f t="shared" si="353"/>
        <v>1</v>
      </c>
      <c r="HS62" s="128">
        <f t="shared" si="354"/>
        <v>0</v>
      </c>
      <c r="HT62" s="701" t="str">
        <f t="shared" si="434"/>
        <v/>
      </c>
      <c r="HU62" s="704" t="str">
        <f t="shared" si="355"/>
        <v/>
      </c>
      <c r="HV62" s="701">
        <f t="shared" si="356"/>
        <v>1</v>
      </c>
      <c r="HW62" s="128">
        <f t="shared" si="357"/>
        <v>0</v>
      </c>
      <c r="HX62" s="701" t="str">
        <f t="shared" si="435"/>
        <v/>
      </c>
      <c r="HY62" s="704" t="str">
        <f t="shared" si="358"/>
        <v/>
      </c>
      <c r="HZ62" s="701">
        <f t="shared" si="359"/>
        <v>1</v>
      </c>
      <c r="IA62" s="128">
        <f t="shared" si="360"/>
        <v>0</v>
      </c>
      <c r="IB62" s="701" t="str">
        <f t="shared" si="436"/>
        <v/>
      </c>
      <c r="IC62" s="704" t="str">
        <f t="shared" si="361"/>
        <v/>
      </c>
      <c r="ID62" s="701">
        <f t="shared" si="362"/>
        <v>1</v>
      </c>
      <c r="IE62" s="128">
        <f t="shared" si="363"/>
        <v>0</v>
      </c>
      <c r="IF62" s="701" t="str">
        <f t="shared" si="437"/>
        <v/>
      </c>
      <c r="IG62" s="704" t="str">
        <f t="shared" si="364"/>
        <v/>
      </c>
      <c r="IH62" s="701">
        <f t="shared" si="365"/>
        <v>1</v>
      </c>
      <c r="II62" s="128">
        <f t="shared" si="366"/>
        <v>0</v>
      </c>
      <c r="IJ62" s="701" t="str">
        <f t="shared" si="438"/>
        <v/>
      </c>
      <c r="IK62" s="704" t="str">
        <f t="shared" si="367"/>
        <v/>
      </c>
      <c r="IL62" s="701">
        <f t="shared" si="368"/>
        <v>1</v>
      </c>
      <c r="IM62" s="128">
        <f t="shared" si="369"/>
        <v>0</v>
      </c>
      <c r="IN62" s="701" t="str">
        <f t="shared" si="439"/>
        <v/>
      </c>
      <c r="IO62" s="704" t="str">
        <f t="shared" si="370"/>
        <v/>
      </c>
      <c r="IP62" s="701">
        <f t="shared" si="371"/>
        <v>1</v>
      </c>
      <c r="IQ62" s="128">
        <f t="shared" si="372"/>
        <v>0</v>
      </c>
      <c r="IR62" s="701" t="str">
        <f t="shared" si="440"/>
        <v/>
      </c>
      <c r="IS62" s="704" t="str">
        <f t="shared" si="373"/>
        <v/>
      </c>
      <c r="IT62" s="701">
        <f t="shared" si="374"/>
        <v>1</v>
      </c>
      <c r="IU62" s="128">
        <f t="shared" si="375"/>
        <v>0</v>
      </c>
      <c r="IV62" s="701" t="str">
        <f t="shared" si="441"/>
        <v/>
      </c>
      <c r="IW62" s="704" t="str">
        <f t="shared" si="376"/>
        <v/>
      </c>
      <c r="IX62" s="701">
        <f t="shared" si="377"/>
        <v>1</v>
      </c>
      <c r="IY62" s="128">
        <f t="shared" si="378"/>
        <v>0</v>
      </c>
    </row>
    <row r="63" spans="1:259" s="2" customFormat="1" ht="13.3" thickTop="1" thickBot="1" x14ac:dyDescent="0.35">
      <c r="D63" s="1"/>
      <c r="E63" s="1"/>
      <c r="F63" s="1"/>
      <c r="G63" s="1"/>
      <c r="H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M63" s="1"/>
      <c r="AN63" s="1"/>
      <c r="AO63" s="1"/>
      <c r="AP63" s="1"/>
      <c r="AQ63" s="1"/>
      <c r="AT63" s="87" t="str">
        <f t="shared" si="443"/>
        <v/>
      </c>
      <c r="AU63" s="78" t="str">
        <f>IF($F34="","",IF($F34=$F$31,$AW$31,IF($F34=$F$32,$AW$32,IF($F34=$F$33,$AW$33,IF($F34=$F$35,$AW$35,IF($F34=$F$36,$AW$36,IF($F34=$F$37,$AW$37,"")))))))</f>
        <v/>
      </c>
      <c r="AV63" s="78" t="str">
        <f t="shared" si="250"/>
        <v/>
      </c>
      <c r="AW63" s="78" t="str">
        <f t="shared" si="251"/>
        <v/>
      </c>
      <c r="AX63" s="239">
        <f t="shared" si="252"/>
        <v>0</v>
      </c>
      <c r="AY63" s="239" t="str">
        <f t="shared" si="253"/>
        <v/>
      </c>
      <c r="AZ63" s="214" t="str">
        <f t="shared" si="254"/>
        <v/>
      </c>
      <c r="BA63" s="214" t="str">
        <f t="shared" si="255"/>
        <v/>
      </c>
      <c r="BB63" s="214" t="str">
        <f t="shared" si="256"/>
        <v/>
      </c>
      <c r="BC63" s="214" t="str">
        <f t="shared" si="257"/>
        <v/>
      </c>
      <c r="BD63" s="1322">
        <f t="shared" si="379"/>
        <v>10</v>
      </c>
      <c r="BE63" s="1"/>
      <c r="BF63" s="214" t="str">
        <f>IF(BG63=0,"",IF(AND(BB63="",BG63=BH63+BI63),1,IF(AND($BB$79&lt;&gt;"",BB63=$BB$79),1,0)))</f>
        <v/>
      </c>
      <c r="BG63" s="94">
        <f t="shared" si="259"/>
        <v>0</v>
      </c>
      <c r="BH63" s="94">
        <f t="shared" si="260"/>
        <v>0</v>
      </c>
      <c r="BI63" s="94">
        <f t="shared" si="261"/>
        <v>0</v>
      </c>
      <c r="BJ63" s="237">
        <f t="shared" si="380"/>
        <v>0</v>
      </c>
      <c r="BK63" s="237">
        <f t="shared" si="262"/>
        <v>0</v>
      </c>
      <c r="BL63" s="237">
        <f t="shared" si="263"/>
        <v>0</v>
      </c>
      <c r="BM63" s="237">
        <f t="shared" si="264"/>
        <v>0</v>
      </c>
      <c r="BN63" s="237">
        <f t="shared" si="265"/>
        <v>0</v>
      </c>
      <c r="BO63" s="237">
        <f t="shared" si="266"/>
        <v>0</v>
      </c>
      <c r="BP63" s="237">
        <f t="shared" si="267"/>
        <v>0</v>
      </c>
      <c r="BQ63" s="237">
        <f t="shared" si="268"/>
        <v>0</v>
      </c>
      <c r="BR63" s="237">
        <f t="shared" si="269"/>
        <v>0</v>
      </c>
      <c r="BS63" s="237">
        <f t="shared" si="270"/>
        <v>0</v>
      </c>
      <c r="BT63" s="237">
        <f t="shared" si="381"/>
        <v>0</v>
      </c>
      <c r="BU63" s="237">
        <f t="shared" si="382"/>
        <v>0</v>
      </c>
      <c r="BV63" s="237">
        <f t="shared" si="383"/>
        <v>0</v>
      </c>
      <c r="BW63" s="237">
        <f t="shared" si="384"/>
        <v>0</v>
      </c>
      <c r="BX63" s="237">
        <f t="shared" si="385"/>
        <v>0</v>
      </c>
      <c r="BY63" s="237">
        <f t="shared" si="386"/>
        <v>0</v>
      </c>
      <c r="BZ63" s="237">
        <f t="shared" si="387"/>
        <v>0</v>
      </c>
      <c r="CA63" s="237">
        <f t="shared" si="388"/>
        <v>0</v>
      </c>
      <c r="CB63" s="237">
        <f t="shared" si="389"/>
        <v>0</v>
      </c>
      <c r="CC63" s="237">
        <f t="shared" si="390"/>
        <v>0</v>
      </c>
      <c r="CD63" s="237">
        <f t="shared" si="391"/>
        <v>0</v>
      </c>
      <c r="CE63" s="237">
        <f t="shared" si="392"/>
        <v>0</v>
      </c>
      <c r="CF63" s="237">
        <f t="shared" si="393"/>
        <v>0</v>
      </c>
      <c r="CG63" s="237">
        <f t="shared" si="394"/>
        <v>0</v>
      </c>
      <c r="CH63" s="237">
        <f t="shared" si="395"/>
        <v>0</v>
      </c>
      <c r="CI63" s="3"/>
      <c r="CJ63" s="3"/>
      <c r="CK63" s="1"/>
      <c r="CL63" s="1"/>
      <c r="CM63" s="1"/>
      <c r="CN63" s="1"/>
      <c r="CO63" s="1"/>
      <c r="CP63" s="1"/>
      <c r="CQ63" s="1"/>
      <c r="CR63" s="524">
        <f t="shared" si="396"/>
        <v>0</v>
      </c>
      <c r="CT63" s="495" t="str">
        <f t="shared" si="397"/>
        <v/>
      </c>
      <c r="CU63" s="496" t="str">
        <f t="shared" si="398"/>
        <v/>
      </c>
      <c r="CV63" s="496" t="str">
        <f t="shared" si="399"/>
        <v/>
      </c>
      <c r="CW63" s="1"/>
      <c r="CX63" s="1026" t="str">
        <f t="shared" si="271"/>
        <v/>
      </c>
      <c r="CY63" s="1026" t="str">
        <f t="shared" si="272"/>
        <v/>
      </c>
      <c r="CZ63" s="1473" t="str">
        <f t="shared" si="273"/>
        <v/>
      </c>
      <c r="DA63" s="1473" t="str">
        <f t="shared" si="274"/>
        <v/>
      </c>
      <c r="DB63" s="1474" t="str">
        <f t="shared" si="275"/>
        <v/>
      </c>
      <c r="DC63" s="1474" t="str">
        <f t="shared" si="276"/>
        <v/>
      </c>
      <c r="DD63" s="1473" t="str">
        <f t="shared" si="400"/>
        <v/>
      </c>
      <c r="DE63" s="1473" t="str">
        <f t="shared" si="401"/>
        <v/>
      </c>
      <c r="DF63" s="1476" t="str">
        <f t="shared" si="277"/>
        <v/>
      </c>
      <c r="DG63" s="1476" t="str">
        <f t="shared" si="278"/>
        <v/>
      </c>
      <c r="DJ63" s="93" t="str">
        <f t="shared" si="402"/>
        <v/>
      </c>
      <c r="DK63" s="93" t="str">
        <f t="shared" si="403"/>
        <v/>
      </c>
      <c r="DL63" s="93">
        <f t="shared" si="404"/>
        <v>0</v>
      </c>
      <c r="DM63" s="93" t="str">
        <f t="shared" si="279"/>
        <v/>
      </c>
      <c r="DN63" s="33">
        <v>10</v>
      </c>
      <c r="DO63" s="93" t="str">
        <f t="shared" si="280"/>
        <v/>
      </c>
      <c r="DP63" s="1"/>
      <c r="DQ63" s="33">
        <v>10</v>
      </c>
      <c r="DR63" s="1486" t="str">
        <f t="shared" si="405"/>
        <v/>
      </c>
      <c r="DS63" s="144" t="str">
        <f t="shared" si="281"/>
        <v/>
      </c>
      <c r="DT63" s="144" t="str">
        <f t="shared" si="282"/>
        <v/>
      </c>
      <c r="DU63" s="144" t="str">
        <f t="shared" si="283"/>
        <v/>
      </c>
      <c r="DV63" s="144" t="str">
        <f t="shared" si="284"/>
        <v/>
      </c>
      <c r="DW63" s="144" t="str">
        <f t="shared" si="285"/>
        <v/>
      </c>
      <c r="DX63" s="144" t="str">
        <f t="shared" si="286"/>
        <v/>
      </c>
      <c r="DY63" s="144" t="str">
        <f t="shared" si="287"/>
        <v/>
      </c>
      <c r="DZ63" s="144" t="str">
        <f t="shared" si="288"/>
        <v/>
      </c>
      <c r="EA63" s="144" t="str">
        <f t="shared" si="289"/>
        <v/>
      </c>
      <c r="EB63" s="144" t="str">
        <f t="shared" si="290"/>
        <v/>
      </c>
      <c r="EC63" s="144" t="str">
        <f t="shared" si="291"/>
        <v/>
      </c>
      <c r="ED63" s="144" t="str">
        <f t="shared" si="292"/>
        <v/>
      </c>
      <c r="EE63" s="144" t="str">
        <f t="shared" si="293"/>
        <v/>
      </c>
      <c r="EF63" s="144" t="str">
        <f t="shared" si="294"/>
        <v/>
      </c>
      <c r="EG63" s="144" t="str">
        <f t="shared" si="295"/>
        <v/>
      </c>
      <c r="EH63" s="144" t="str">
        <f t="shared" si="296"/>
        <v/>
      </c>
      <c r="EI63" s="144" t="str">
        <f t="shared" si="297"/>
        <v/>
      </c>
      <c r="EJ63" s="144" t="str">
        <f t="shared" si="298"/>
        <v/>
      </c>
      <c r="EK63" s="144" t="str">
        <f t="shared" si="299"/>
        <v/>
      </c>
      <c r="EL63" s="144" t="str">
        <f t="shared" si="300"/>
        <v/>
      </c>
      <c r="EM63" s="144" t="str">
        <f t="shared" si="301"/>
        <v/>
      </c>
      <c r="EN63" s="720" t="str">
        <f t="shared" si="302"/>
        <v/>
      </c>
      <c r="EO63" s="720" t="str">
        <f t="shared" si="303"/>
        <v/>
      </c>
      <c r="EP63" s="720" t="str">
        <f t="shared" si="304"/>
        <v/>
      </c>
      <c r="EQ63" s="720" t="str">
        <f t="shared" si="305"/>
        <v/>
      </c>
      <c r="ER63" s="720" t="str">
        <f t="shared" si="306"/>
        <v/>
      </c>
      <c r="ES63" s="1460">
        <f t="shared" si="406"/>
        <v>0</v>
      </c>
      <c r="ET63" s="201">
        <f t="shared" si="407"/>
        <v>26</v>
      </c>
      <c r="EU63" s="137" t="str">
        <f t="shared" si="408"/>
        <v/>
      </c>
      <c r="EV63" s="290" t="str">
        <f t="shared" si="307"/>
        <v/>
      </c>
      <c r="EW63" s="290" t="str">
        <f t="shared" si="308"/>
        <v/>
      </c>
      <c r="EX63" s="725" t="str">
        <f>IF(OR(FF63="",FG63=""),"",IF(H34&gt;=1,EY63+ES63+FD63,""))</f>
        <v/>
      </c>
      <c r="EY63" s="1322">
        <f t="shared" si="310"/>
        <v>0</v>
      </c>
      <c r="EZ63" s="201">
        <f t="shared" si="409"/>
        <v>25</v>
      </c>
      <c r="FA63" s="1467" t="str">
        <f t="shared" si="410"/>
        <v/>
      </c>
      <c r="FB63" s="216" t="str">
        <f t="shared" si="411"/>
        <v/>
      </c>
      <c r="FC63" s="795" t="str" cm="1">
        <f t="array" ref="FC63">IF($FB63="","",INDEX($H$25:$H$49,$DN34))</f>
        <v/>
      </c>
      <c r="FD63" s="234" t="str">
        <f t="shared" si="412"/>
        <v/>
      </c>
      <c r="FE63" s="90">
        <f t="shared" si="311"/>
        <v>0</v>
      </c>
      <c r="FF63" s="711" t="str">
        <f t="shared" si="413"/>
        <v/>
      </c>
      <c r="FG63" s="712" t="str">
        <f t="shared" si="413"/>
        <v/>
      </c>
      <c r="FH63" s="701" t="str">
        <f t="shared" si="444"/>
        <v/>
      </c>
      <c r="FI63" s="704" t="str">
        <f t="shared" si="312"/>
        <v/>
      </c>
      <c r="FJ63" s="701">
        <f t="shared" si="313"/>
        <v>1</v>
      </c>
      <c r="FK63" s="128">
        <f t="shared" si="414"/>
        <v>0</v>
      </c>
      <c r="FL63" s="701" t="str">
        <f t="shared" si="415"/>
        <v/>
      </c>
      <c r="FM63" s="704" t="str">
        <f t="shared" si="314"/>
        <v/>
      </c>
      <c r="FN63" s="701">
        <f t="shared" si="315"/>
        <v>1</v>
      </c>
      <c r="FO63" s="128">
        <f t="shared" si="316"/>
        <v>0</v>
      </c>
      <c r="FP63" s="701" t="str">
        <f t="shared" si="416"/>
        <v/>
      </c>
      <c r="FQ63" s="704" t="str">
        <f t="shared" si="317"/>
        <v/>
      </c>
      <c r="FR63" s="701">
        <f t="shared" si="417"/>
        <v>1</v>
      </c>
      <c r="FS63" s="128">
        <f t="shared" si="318"/>
        <v>0</v>
      </c>
      <c r="FT63" s="701" t="str">
        <f t="shared" si="418"/>
        <v/>
      </c>
      <c r="FU63" s="704" t="str">
        <f t="shared" si="319"/>
        <v/>
      </c>
      <c r="FV63" s="701">
        <f t="shared" si="419"/>
        <v>1</v>
      </c>
      <c r="FW63" s="128">
        <f t="shared" si="320"/>
        <v>0</v>
      </c>
      <c r="FX63" s="701" t="str">
        <f t="shared" si="420"/>
        <v/>
      </c>
      <c r="FY63" s="704" t="str">
        <f t="shared" si="321"/>
        <v/>
      </c>
      <c r="FZ63" s="701">
        <f t="shared" si="421"/>
        <v>1</v>
      </c>
      <c r="GA63" s="128">
        <f t="shared" si="322"/>
        <v>0</v>
      </c>
      <c r="GB63" s="701" t="str">
        <f t="shared" si="422"/>
        <v/>
      </c>
      <c r="GC63" s="704" t="str">
        <f t="shared" si="323"/>
        <v/>
      </c>
      <c r="GD63" s="701">
        <f t="shared" si="423"/>
        <v>1</v>
      </c>
      <c r="GE63" s="128">
        <f t="shared" si="324"/>
        <v>0</v>
      </c>
      <c r="GF63" s="701" t="str">
        <f t="shared" si="424"/>
        <v/>
      </c>
      <c r="GG63" s="704" t="str">
        <f t="shared" si="325"/>
        <v/>
      </c>
      <c r="GH63" s="701">
        <f t="shared" si="326"/>
        <v>1</v>
      </c>
      <c r="GI63" s="128">
        <f t="shared" si="327"/>
        <v>0</v>
      </c>
      <c r="GJ63" s="701" t="str">
        <f t="shared" si="425"/>
        <v/>
      </c>
      <c r="GK63" s="704" t="str">
        <f t="shared" si="328"/>
        <v/>
      </c>
      <c r="GL63" s="701">
        <f t="shared" si="329"/>
        <v>1</v>
      </c>
      <c r="GM63" s="128">
        <f t="shared" si="330"/>
        <v>0</v>
      </c>
      <c r="GN63" s="701" t="str">
        <f t="shared" si="426"/>
        <v/>
      </c>
      <c r="GO63" s="704" t="str">
        <f t="shared" si="331"/>
        <v/>
      </c>
      <c r="GP63" s="701">
        <f t="shared" si="332"/>
        <v>1</v>
      </c>
      <c r="GQ63" s="128">
        <f t="shared" si="333"/>
        <v>0</v>
      </c>
      <c r="GR63" s="701" t="str">
        <f t="shared" si="427"/>
        <v/>
      </c>
      <c r="GS63" s="704" t="str">
        <f t="shared" si="334"/>
        <v/>
      </c>
      <c r="GT63" s="701">
        <f t="shared" si="335"/>
        <v>1</v>
      </c>
      <c r="GU63" s="128">
        <f t="shared" si="336"/>
        <v>0</v>
      </c>
      <c r="GV63" s="701" t="str">
        <f t="shared" si="428"/>
        <v/>
      </c>
      <c r="GW63" s="704" t="str">
        <f t="shared" si="337"/>
        <v/>
      </c>
      <c r="GX63" s="701">
        <f t="shared" si="338"/>
        <v>1</v>
      </c>
      <c r="GY63" s="128">
        <f t="shared" si="339"/>
        <v>0</v>
      </c>
      <c r="GZ63" s="701" t="str">
        <f t="shared" si="429"/>
        <v/>
      </c>
      <c r="HA63" s="704" t="str">
        <f t="shared" si="340"/>
        <v/>
      </c>
      <c r="HB63" s="701">
        <f t="shared" si="341"/>
        <v>1</v>
      </c>
      <c r="HC63" s="128">
        <f t="shared" si="342"/>
        <v>0</v>
      </c>
      <c r="HD63" s="701" t="str">
        <f t="shared" si="430"/>
        <v/>
      </c>
      <c r="HE63" s="704" t="str">
        <f t="shared" si="343"/>
        <v/>
      </c>
      <c r="HF63" s="701">
        <f t="shared" si="344"/>
        <v>1</v>
      </c>
      <c r="HG63" s="128">
        <f t="shared" si="345"/>
        <v>0</v>
      </c>
      <c r="HH63" s="701" t="str">
        <f t="shared" si="431"/>
        <v/>
      </c>
      <c r="HI63" s="704" t="str">
        <f t="shared" si="346"/>
        <v/>
      </c>
      <c r="HJ63" s="701">
        <f t="shared" si="347"/>
        <v>1</v>
      </c>
      <c r="HK63" s="128">
        <f t="shared" si="348"/>
        <v>0</v>
      </c>
      <c r="HL63" s="701" t="str">
        <f t="shared" si="432"/>
        <v/>
      </c>
      <c r="HM63" s="704" t="str">
        <f t="shared" si="349"/>
        <v/>
      </c>
      <c r="HN63" s="701">
        <f t="shared" si="350"/>
        <v>1</v>
      </c>
      <c r="HO63" s="128">
        <f t="shared" si="351"/>
        <v>0</v>
      </c>
      <c r="HP63" s="701" t="str">
        <f t="shared" si="433"/>
        <v/>
      </c>
      <c r="HQ63" s="704" t="str">
        <f t="shared" si="352"/>
        <v/>
      </c>
      <c r="HR63" s="701">
        <f t="shared" si="353"/>
        <v>1</v>
      </c>
      <c r="HS63" s="128">
        <f t="shared" si="354"/>
        <v>0</v>
      </c>
      <c r="HT63" s="701" t="str">
        <f t="shared" si="434"/>
        <v/>
      </c>
      <c r="HU63" s="704" t="str">
        <f t="shared" si="355"/>
        <v/>
      </c>
      <c r="HV63" s="701">
        <f t="shared" si="356"/>
        <v>1</v>
      </c>
      <c r="HW63" s="128">
        <f t="shared" si="357"/>
        <v>0</v>
      </c>
      <c r="HX63" s="701" t="str">
        <f t="shared" si="435"/>
        <v/>
      </c>
      <c r="HY63" s="704" t="str">
        <f t="shared" si="358"/>
        <v/>
      </c>
      <c r="HZ63" s="701">
        <f t="shared" si="359"/>
        <v>1</v>
      </c>
      <c r="IA63" s="128">
        <f t="shared" si="360"/>
        <v>0</v>
      </c>
      <c r="IB63" s="701" t="str">
        <f t="shared" si="436"/>
        <v/>
      </c>
      <c r="IC63" s="704" t="str">
        <f t="shared" si="361"/>
        <v/>
      </c>
      <c r="ID63" s="701">
        <f t="shared" si="362"/>
        <v>1</v>
      </c>
      <c r="IE63" s="128">
        <f t="shared" si="363"/>
        <v>0</v>
      </c>
      <c r="IF63" s="701" t="str">
        <f t="shared" si="437"/>
        <v/>
      </c>
      <c r="IG63" s="704" t="str">
        <f t="shared" si="364"/>
        <v/>
      </c>
      <c r="IH63" s="701">
        <f t="shared" si="365"/>
        <v>1</v>
      </c>
      <c r="II63" s="128">
        <f t="shared" si="366"/>
        <v>0</v>
      </c>
      <c r="IJ63" s="701" t="str">
        <f t="shared" si="438"/>
        <v/>
      </c>
      <c r="IK63" s="704" t="str">
        <f t="shared" si="367"/>
        <v/>
      </c>
      <c r="IL63" s="701">
        <f t="shared" si="368"/>
        <v>1</v>
      </c>
      <c r="IM63" s="128">
        <f t="shared" si="369"/>
        <v>0</v>
      </c>
      <c r="IN63" s="701" t="str">
        <f t="shared" si="439"/>
        <v/>
      </c>
      <c r="IO63" s="704" t="str">
        <f t="shared" si="370"/>
        <v/>
      </c>
      <c r="IP63" s="701">
        <f t="shared" si="371"/>
        <v>1</v>
      </c>
      <c r="IQ63" s="128">
        <f t="shared" si="372"/>
        <v>0</v>
      </c>
      <c r="IR63" s="701" t="str">
        <f t="shared" si="440"/>
        <v/>
      </c>
      <c r="IS63" s="704" t="str">
        <f t="shared" si="373"/>
        <v/>
      </c>
      <c r="IT63" s="701">
        <f t="shared" si="374"/>
        <v>1</v>
      </c>
      <c r="IU63" s="128">
        <f t="shared" si="375"/>
        <v>0</v>
      </c>
      <c r="IV63" s="701" t="str">
        <f t="shared" si="441"/>
        <v/>
      </c>
      <c r="IW63" s="704" t="str">
        <f t="shared" si="376"/>
        <v/>
      </c>
      <c r="IX63" s="701">
        <f t="shared" si="377"/>
        <v>1</v>
      </c>
      <c r="IY63" s="128">
        <f t="shared" si="378"/>
        <v>0</v>
      </c>
    </row>
    <row r="64" spans="1:259" s="2" customFormat="1" ht="13.5" customHeight="1" thickTop="1" thickBot="1" x14ac:dyDescent="0.35">
      <c r="D64" s="1"/>
      <c r="E64" s="1"/>
      <c r="F64" s="1"/>
      <c r="G64" s="1"/>
      <c r="H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M64" s="1"/>
      <c r="AN64" s="1"/>
      <c r="AO64" s="1"/>
      <c r="AP64" s="1"/>
      <c r="AQ64" s="1"/>
      <c r="AT64" s="87" t="str">
        <f t="shared" si="443"/>
        <v/>
      </c>
      <c r="AU64" s="78" t="str">
        <f>IF($F35="","",IF($F35=$F$31,$AW$31,IF($F35=$F$32,$AW$32,IF($F35=$F$33,$AW$33,IF($F35=$F$34,$AW$34,IF($F35=$F$36,$AW$36,IF($F35=$F$37,$AW$37,"")))))))</f>
        <v/>
      </c>
      <c r="AV64" s="78" t="str">
        <f t="shared" si="250"/>
        <v/>
      </c>
      <c r="AW64" s="78" t="str">
        <f t="shared" si="251"/>
        <v/>
      </c>
      <c r="AX64" s="239">
        <f t="shared" si="252"/>
        <v>0</v>
      </c>
      <c r="AY64" s="239" t="str">
        <f t="shared" si="253"/>
        <v/>
      </c>
      <c r="AZ64" s="214" t="str">
        <f t="shared" si="254"/>
        <v/>
      </c>
      <c r="BA64" s="214" t="str">
        <f t="shared" si="255"/>
        <v/>
      </c>
      <c r="BB64" s="214" t="str">
        <f t="shared" si="256"/>
        <v/>
      </c>
      <c r="BC64" s="214" t="str">
        <f t="shared" si="257"/>
        <v/>
      </c>
      <c r="BD64" s="1322">
        <f t="shared" si="379"/>
        <v>11</v>
      </c>
      <c r="BE64" s="1"/>
      <c r="BF64" s="214" t="str">
        <f t="shared" si="258"/>
        <v/>
      </c>
      <c r="BG64" s="94">
        <f t="shared" si="259"/>
        <v>0</v>
      </c>
      <c r="BH64" s="94">
        <f t="shared" si="260"/>
        <v>0</v>
      </c>
      <c r="BI64" s="94">
        <f t="shared" si="261"/>
        <v>0</v>
      </c>
      <c r="BJ64" s="237">
        <f t="shared" si="380"/>
        <v>0</v>
      </c>
      <c r="BK64" s="237">
        <f t="shared" si="262"/>
        <v>0</v>
      </c>
      <c r="BL64" s="237">
        <f t="shared" si="263"/>
        <v>0</v>
      </c>
      <c r="BM64" s="237">
        <f t="shared" si="264"/>
        <v>0</v>
      </c>
      <c r="BN64" s="237">
        <f t="shared" si="265"/>
        <v>0</v>
      </c>
      <c r="BO64" s="237">
        <f t="shared" si="266"/>
        <v>0</v>
      </c>
      <c r="BP64" s="237">
        <f t="shared" si="267"/>
        <v>0</v>
      </c>
      <c r="BQ64" s="237">
        <f t="shared" si="268"/>
        <v>0</v>
      </c>
      <c r="BR64" s="237">
        <f t="shared" si="269"/>
        <v>0</v>
      </c>
      <c r="BS64" s="237">
        <f t="shared" si="270"/>
        <v>0</v>
      </c>
      <c r="BT64" s="237">
        <f t="shared" si="381"/>
        <v>0</v>
      </c>
      <c r="BU64" s="237">
        <f t="shared" si="382"/>
        <v>0</v>
      </c>
      <c r="BV64" s="237">
        <f t="shared" si="383"/>
        <v>0</v>
      </c>
      <c r="BW64" s="237">
        <f t="shared" si="384"/>
        <v>0</v>
      </c>
      <c r="BX64" s="237">
        <f t="shared" si="385"/>
        <v>0</v>
      </c>
      <c r="BY64" s="237">
        <f t="shared" si="386"/>
        <v>0</v>
      </c>
      <c r="BZ64" s="237">
        <f t="shared" si="387"/>
        <v>0</v>
      </c>
      <c r="CA64" s="237">
        <f t="shared" si="388"/>
        <v>0</v>
      </c>
      <c r="CB64" s="237">
        <f t="shared" si="389"/>
        <v>0</v>
      </c>
      <c r="CC64" s="237">
        <f t="shared" si="390"/>
        <v>0</v>
      </c>
      <c r="CD64" s="237">
        <f t="shared" si="391"/>
        <v>0</v>
      </c>
      <c r="CE64" s="237">
        <f t="shared" si="392"/>
        <v>0</v>
      </c>
      <c r="CF64" s="237">
        <f t="shared" si="393"/>
        <v>0</v>
      </c>
      <c r="CG64" s="237">
        <f t="shared" si="394"/>
        <v>0</v>
      </c>
      <c r="CH64" s="237">
        <f t="shared" si="395"/>
        <v>0</v>
      </c>
      <c r="CI64" s="3"/>
      <c r="CJ64" s="3"/>
      <c r="CK64" s="1"/>
      <c r="CL64" s="1"/>
      <c r="CM64" s="1"/>
      <c r="CN64" s="1"/>
      <c r="CO64" s="1"/>
      <c r="CP64" s="1"/>
      <c r="CQ64" s="1"/>
      <c r="CR64" s="524">
        <f t="shared" si="396"/>
        <v>0</v>
      </c>
      <c r="CT64" s="495" t="str">
        <f t="shared" si="397"/>
        <v/>
      </c>
      <c r="CU64" s="496" t="str">
        <f t="shared" si="398"/>
        <v/>
      </c>
      <c r="CV64" s="496" t="str">
        <f t="shared" si="399"/>
        <v/>
      </c>
      <c r="CW64" s="1"/>
      <c r="CX64" s="1026" t="str">
        <f t="shared" si="271"/>
        <v/>
      </c>
      <c r="CY64" s="1026" t="str">
        <f t="shared" si="272"/>
        <v/>
      </c>
      <c r="CZ64" s="1473" t="str">
        <f t="shared" si="273"/>
        <v/>
      </c>
      <c r="DA64" s="1473" t="str">
        <f t="shared" si="274"/>
        <v/>
      </c>
      <c r="DB64" s="1474" t="str">
        <f t="shared" si="275"/>
        <v/>
      </c>
      <c r="DC64" s="1474" t="str">
        <f t="shared" si="276"/>
        <v/>
      </c>
      <c r="DD64" s="1473" t="str">
        <f t="shared" si="400"/>
        <v/>
      </c>
      <c r="DE64" s="1473" t="str">
        <f t="shared" si="401"/>
        <v/>
      </c>
      <c r="DF64" s="1476" t="str">
        <f t="shared" si="277"/>
        <v/>
      </c>
      <c r="DG64" s="1476" t="str">
        <f t="shared" si="278"/>
        <v/>
      </c>
      <c r="DJ64" s="93" t="str">
        <f t="shared" si="402"/>
        <v/>
      </c>
      <c r="DK64" s="93" t="str">
        <f t="shared" si="403"/>
        <v/>
      </c>
      <c r="DL64" s="93">
        <f t="shared" si="404"/>
        <v>0</v>
      </c>
      <c r="DM64" s="93" t="str">
        <f t="shared" si="279"/>
        <v/>
      </c>
      <c r="DN64" s="33">
        <v>11</v>
      </c>
      <c r="DO64" s="93" t="str">
        <f t="shared" si="280"/>
        <v/>
      </c>
      <c r="DP64" s="1"/>
      <c r="DQ64" s="33">
        <v>11</v>
      </c>
      <c r="DR64" s="1486" t="str">
        <f t="shared" si="405"/>
        <v/>
      </c>
      <c r="DS64" s="144" t="str">
        <f t="shared" si="281"/>
        <v/>
      </c>
      <c r="DT64" s="144" t="str">
        <f t="shared" si="282"/>
        <v/>
      </c>
      <c r="DU64" s="144" t="str">
        <f t="shared" si="283"/>
        <v/>
      </c>
      <c r="DV64" s="144" t="str">
        <f t="shared" si="284"/>
        <v/>
      </c>
      <c r="DW64" s="144" t="str">
        <f t="shared" si="285"/>
        <v/>
      </c>
      <c r="DX64" s="144" t="str">
        <f t="shared" si="286"/>
        <v/>
      </c>
      <c r="DY64" s="144" t="str">
        <f t="shared" si="287"/>
        <v/>
      </c>
      <c r="DZ64" s="144" t="str">
        <f t="shared" si="288"/>
        <v/>
      </c>
      <c r="EA64" s="144" t="str">
        <f t="shared" si="289"/>
        <v/>
      </c>
      <c r="EB64" s="144" t="str">
        <f t="shared" si="290"/>
        <v/>
      </c>
      <c r="EC64" s="144" t="str">
        <f t="shared" si="291"/>
        <v/>
      </c>
      <c r="ED64" s="144" t="str">
        <f t="shared" si="292"/>
        <v/>
      </c>
      <c r="EE64" s="144" t="str">
        <f t="shared" si="293"/>
        <v/>
      </c>
      <c r="EF64" s="144" t="str">
        <f t="shared" si="294"/>
        <v/>
      </c>
      <c r="EG64" s="144" t="str">
        <f t="shared" si="295"/>
        <v/>
      </c>
      <c r="EH64" s="144" t="str">
        <f t="shared" si="296"/>
        <v/>
      </c>
      <c r="EI64" s="144" t="str">
        <f t="shared" si="297"/>
        <v/>
      </c>
      <c r="EJ64" s="144" t="str">
        <f t="shared" si="298"/>
        <v/>
      </c>
      <c r="EK64" s="144" t="str">
        <f t="shared" si="299"/>
        <v/>
      </c>
      <c r="EL64" s="144" t="str">
        <f t="shared" si="300"/>
        <v/>
      </c>
      <c r="EM64" s="144" t="str">
        <f t="shared" si="301"/>
        <v/>
      </c>
      <c r="EN64" s="720" t="str">
        <f t="shared" si="302"/>
        <v/>
      </c>
      <c r="EO64" s="720" t="str">
        <f t="shared" si="303"/>
        <v/>
      </c>
      <c r="EP64" s="720" t="str">
        <f t="shared" si="304"/>
        <v/>
      </c>
      <c r="EQ64" s="720" t="str">
        <f t="shared" si="305"/>
        <v/>
      </c>
      <c r="ER64" s="720" t="str">
        <f t="shared" si="306"/>
        <v/>
      </c>
      <c r="ES64" s="1460">
        <f t="shared" si="406"/>
        <v>0</v>
      </c>
      <c r="ET64" s="201">
        <f t="shared" si="407"/>
        <v>26</v>
      </c>
      <c r="EU64" s="137" t="str">
        <f t="shared" si="408"/>
        <v/>
      </c>
      <c r="EV64" s="290" t="str">
        <f t="shared" si="307"/>
        <v/>
      </c>
      <c r="EW64" s="290" t="str">
        <f t="shared" si="308"/>
        <v/>
      </c>
      <c r="EX64" s="725" t="str">
        <f t="shared" si="309"/>
        <v/>
      </c>
      <c r="EY64" s="1322">
        <f t="shared" si="310"/>
        <v>0</v>
      </c>
      <c r="EZ64" s="201">
        <f t="shared" si="409"/>
        <v>25</v>
      </c>
      <c r="FA64" s="1467" t="str">
        <f t="shared" si="410"/>
        <v/>
      </c>
      <c r="FB64" s="216" t="str">
        <f t="shared" si="411"/>
        <v/>
      </c>
      <c r="FC64" s="795" t="str" cm="1">
        <f t="array" ref="FC64">IF($FB64="","",INDEX($H$25:$H$49,$DN35))</f>
        <v/>
      </c>
      <c r="FD64" s="234" t="str">
        <f t="shared" si="412"/>
        <v/>
      </c>
      <c r="FE64" s="90">
        <f t="shared" si="311"/>
        <v>0</v>
      </c>
      <c r="FF64" s="711" t="str">
        <f t="shared" si="413"/>
        <v/>
      </c>
      <c r="FG64" s="712" t="str">
        <f t="shared" si="413"/>
        <v/>
      </c>
      <c r="FH64" s="701" t="str">
        <f t="shared" si="444"/>
        <v/>
      </c>
      <c r="FI64" s="704" t="str">
        <f t="shared" si="312"/>
        <v/>
      </c>
      <c r="FJ64" s="701">
        <f t="shared" si="313"/>
        <v>1</v>
      </c>
      <c r="FK64" s="128">
        <f t="shared" si="414"/>
        <v>0</v>
      </c>
      <c r="FL64" s="701" t="str">
        <f t="shared" si="415"/>
        <v/>
      </c>
      <c r="FM64" s="704" t="str">
        <f t="shared" si="314"/>
        <v/>
      </c>
      <c r="FN64" s="701">
        <f t="shared" si="315"/>
        <v>1</v>
      </c>
      <c r="FO64" s="128">
        <f t="shared" si="316"/>
        <v>0</v>
      </c>
      <c r="FP64" s="701" t="str">
        <f t="shared" si="416"/>
        <v/>
      </c>
      <c r="FQ64" s="704" t="str">
        <f t="shared" si="317"/>
        <v/>
      </c>
      <c r="FR64" s="701">
        <f t="shared" si="417"/>
        <v>1</v>
      </c>
      <c r="FS64" s="128">
        <f t="shared" si="318"/>
        <v>0</v>
      </c>
      <c r="FT64" s="701" t="str">
        <f t="shared" si="418"/>
        <v/>
      </c>
      <c r="FU64" s="704" t="str">
        <f t="shared" si="319"/>
        <v/>
      </c>
      <c r="FV64" s="701">
        <f t="shared" si="419"/>
        <v>1</v>
      </c>
      <c r="FW64" s="128">
        <f t="shared" si="320"/>
        <v>0</v>
      </c>
      <c r="FX64" s="701" t="str">
        <f t="shared" si="420"/>
        <v/>
      </c>
      <c r="FY64" s="704" t="str">
        <f t="shared" si="321"/>
        <v/>
      </c>
      <c r="FZ64" s="701">
        <f t="shared" si="421"/>
        <v>1</v>
      </c>
      <c r="GA64" s="128">
        <f t="shared" si="322"/>
        <v>0</v>
      </c>
      <c r="GB64" s="701" t="str">
        <f t="shared" si="422"/>
        <v/>
      </c>
      <c r="GC64" s="704" t="str">
        <f t="shared" si="323"/>
        <v/>
      </c>
      <c r="GD64" s="701">
        <f t="shared" si="423"/>
        <v>1</v>
      </c>
      <c r="GE64" s="128">
        <f t="shared" si="324"/>
        <v>0</v>
      </c>
      <c r="GF64" s="701" t="str">
        <f t="shared" si="424"/>
        <v/>
      </c>
      <c r="GG64" s="704" t="str">
        <f t="shared" si="325"/>
        <v/>
      </c>
      <c r="GH64" s="701">
        <f t="shared" si="326"/>
        <v>1</v>
      </c>
      <c r="GI64" s="128">
        <f t="shared" si="327"/>
        <v>0</v>
      </c>
      <c r="GJ64" s="701" t="str">
        <f t="shared" si="425"/>
        <v/>
      </c>
      <c r="GK64" s="704" t="str">
        <f t="shared" si="328"/>
        <v/>
      </c>
      <c r="GL64" s="701">
        <f t="shared" si="329"/>
        <v>1</v>
      </c>
      <c r="GM64" s="128">
        <f t="shared" si="330"/>
        <v>0</v>
      </c>
      <c r="GN64" s="701" t="str">
        <f t="shared" si="426"/>
        <v/>
      </c>
      <c r="GO64" s="704" t="str">
        <f t="shared" si="331"/>
        <v/>
      </c>
      <c r="GP64" s="701">
        <f t="shared" si="332"/>
        <v>1</v>
      </c>
      <c r="GQ64" s="128">
        <f t="shared" si="333"/>
        <v>0</v>
      </c>
      <c r="GR64" s="701" t="str">
        <f t="shared" si="427"/>
        <v/>
      </c>
      <c r="GS64" s="704" t="str">
        <f t="shared" si="334"/>
        <v/>
      </c>
      <c r="GT64" s="701">
        <f t="shared" si="335"/>
        <v>1</v>
      </c>
      <c r="GU64" s="128">
        <f t="shared" si="336"/>
        <v>0</v>
      </c>
      <c r="GV64" s="701" t="str">
        <f t="shared" si="428"/>
        <v/>
      </c>
      <c r="GW64" s="704" t="str">
        <f t="shared" si="337"/>
        <v/>
      </c>
      <c r="GX64" s="701">
        <f t="shared" si="338"/>
        <v>1</v>
      </c>
      <c r="GY64" s="128">
        <f t="shared" si="339"/>
        <v>0</v>
      </c>
      <c r="GZ64" s="701" t="str">
        <f t="shared" si="429"/>
        <v/>
      </c>
      <c r="HA64" s="704" t="str">
        <f t="shared" si="340"/>
        <v/>
      </c>
      <c r="HB64" s="701">
        <f t="shared" si="341"/>
        <v>1</v>
      </c>
      <c r="HC64" s="128">
        <f t="shared" si="342"/>
        <v>0</v>
      </c>
      <c r="HD64" s="701" t="str">
        <f t="shared" si="430"/>
        <v/>
      </c>
      <c r="HE64" s="704" t="str">
        <f t="shared" si="343"/>
        <v/>
      </c>
      <c r="HF64" s="701">
        <f t="shared" si="344"/>
        <v>1</v>
      </c>
      <c r="HG64" s="128">
        <f t="shared" si="345"/>
        <v>0</v>
      </c>
      <c r="HH64" s="701" t="str">
        <f t="shared" si="431"/>
        <v/>
      </c>
      <c r="HI64" s="704" t="str">
        <f t="shared" si="346"/>
        <v/>
      </c>
      <c r="HJ64" s="701">
        <f t="shared" si="347"/>
        <v>1</v>
      </c>
      <c r="HK64" s="128">
        <f t="shared" si="348"/>
        <v>0</v>
      </c>
      <c r="HL64" s="701" t="str">
        <f t="shared" si="432"/>
        <v/>
      </c>
      <c r="HM64" s="704" t="str">
        <f t="shared" si="349"/>
        <v/>
      </c>
      <c r="HN64" s="701">
        <f t="shared" si="350"/>
        <v>1</v>
      </c>
      <c r="HO64" s="128">
        <f t="shared" si="351"/>
        <v>0</v>
      </c>
      <c r="HP64" s="701" t="str">
        <f t="shared" si="433"/>
        <v/>
      </c>
      <c r="HQ64" s="704" t="str">
        <f t="shared" si="352"/>
        <v/>
      </c>
      <c r="HR64" s="701">
        <f t="shared" si="353"/>
        <v>1</v>
      </c>
      <c r="HS64" s="128">
        <f t="shared" si="354"/>
        <v>0</v>
      </c>
      <c r="HT64" s="701" t="str">
        <f t="shared" si="434"/>
        <v/>
      </c>
      <c r="HU64" s="704" t="str">
        <f t="shared" si="355"/>
        <v/>
      </c>
      <c r="HV64" s="701">
        <f t="shared" si="356"/>
        <v>1</v>
      </c>
      <c r="HW64" s="128">
        <f t="shared" si="357"/>
        <v>0</v>
      </c>
      <c r="HX64" s="701" t="str">
        <f t="shared" si="435"/>
        <v/>
      </c>
      <c r="HY64" s="704" t="str">
        <f t="shared" si="358"/>
        <v/>
      </c>
      <c r="HZ64" s="701">
        <f t="shared" si="359"/>
        <v>1</v>
      </c>
      <c r="IA64" s="128">
        <f t="shared" si="360"/>
        <v>0</v>
      </c>
      <c r="IB64" s="701" t="str">
        <f t="shared" si="436"/>
        <v/>
      </c>
      <c r="IC64" s="704" t="str">
        <f t="shared" si="361"/>
        <v/>
      </c>
      <c r="ID64" s="701">
        <f t="shared" si="362"/>
        <v>1</v>
      </c>
      <c r="IE64" s="128">
        <f t="shared" si="363"/>
        <v>0</v>
      </c>
      <c r="IF64" s="701" t="str">
        <f t="shared" si="437"/>
        <v/>
      </c>
      <c r="IG64" s="704" t="str">
        <f t="shared" si="364"/>
        <v/>
      </c>
      <c r="IH64" s="701">
        <f t="shared" si="365"/>
        <v>1</v>
      </c>
      <c r="II64" s="128">
        <f t="shared" si="366"/>
        <v>0</v>
      </c>
      <c r="IJ64" s="701" t="str">
        <f t="shared" si="438"/>
        <v/>
      </c>
      <c r="IK64" s="704" t="str">
        <f t="shared" si="367"/>
        <v/>
      </c>
      <c r="IL64" s="701">
        <f t="shared" si="368"/>
        <v>1</v>
      </c>
      <c r="IM64" s="128">
        <f t="shared" si="369"/>
        <v>0</v>
      </c>
      <c r="IN64" s="701" t="str">
        <f t="shared" si="439"/>
        <v/>
      </c>
      <c r="IO64" s="704" t="str">
        <f t="shared" si="370"/>
        <v/>
      </c>
      <c r="IP64" s="701">
        <f t="shared" si="371"/>
        <v>1</v>
      </c>
      <c r="IQ64" s="128">
        <f t="shared" si="372"/>
        <v>0</v>
      </c>
      <c r="IR64" s="701" t="str">
        <f t="shared" si="440"/>
        <v/>
      </c>
      <c r="IS64" s="704" t="str">
        <f t="shared" si="373"/>
        <v/>
      </c>
      <c r="IT64" s="701">
        <f t="shared" si="374"/>
        <v>1</v>
      </c>
      <c r="IU64" s="128">
        <f t="shared" si="375"/>
        <v>0</v>
      </c>
      <c r="IV64" s="701" t="str">
        <f t="shared" si="441"/>
        <v/>
      </c>
      <c r="IW64" s="704" t="str">
        <f t="shared" si="376"/>
        <v/>
      </c>
      <c r="IX64" s="701">
        <f t="shared" si="377"/>
        <v>1</v>
      </c>
      <c r="IY64" s="128">
        <f t="shared" si="378"/>
        <v>0</v>
      </c>
    </row>
    <row r="65" spans="3:259" s="2" customFormat="1" ht="13.3" thickTop="1" thickBot="1" x14ac:dyDescent="0.35">
      <c r="D65" s="1"/>
      <c r="E65" s="1"/>
      <c r="F65" s="1"/>
      <c r="G65" s="1"/>
      <c r="H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T65" s="87" t="str">
        <f t="shared" si="443"/>
        <v/>
      </c>
      <c r="AU65" s="78" t="str">
        <f>IF($F36="","",IF($F36=$F$31,$AW$31,IF($F36=$F$32,$AW$32,IF($F36=$F$33,$AW$33,IF($F36=$F$34,$AW$34,IF($F36=$F$35,$AW$35,IF($F36=$F$37,$AW$37,"")))))))</f>
        <v/>
      </c>
      <c r="AV65" s="78" t="str">
        <f t="shared" si="250"/>
        <v/>
      </c>
      <c r="AW65" s="78" t="str">
        <f t="shared" si="251"/>
        <v/>
      </c>
      <c r="AX65" s="239">
        <f t="shared" si="252"/>
        <v>0</v>
      </c>
      <c r="AY65" s="239" t="str">
        <f t="shared" si="253"/>
        <v/>
      </c>
      <c r="AZ65" s="214" t="str">
        <f t="shared" si="254"/>
        <v/>
      </c>
      <c r="BA65" s="214" t="str">
        <f t="shared" si="255"/>
        <v/>
      </c>
      <c r="BB65" s="214" t="str">
        <f t="shared" si="256"/>
        <v/>
      </c>
      <c r="BC65" s="214" t="str">
        <f t="shared" si="257"/>
        <v/>
      </c>
      <c r="BD65" s="1322">
        <f t="shared" si="379"/>
        <v>12</v>
      </c>
      <c r="BE65" s="1"/>
      <c r="BF65" s="214" t="str">
        <f t="shared" si="258"/>
        <v/>
      </c>
      <c r="BG65" s="94">
        <f t="shared" si="259"/>
        <v>0</v>
      </c>
      <c r="BH65" s="94">
        <f t="shared" si="260"/>
        <v>0</v>
      </c>
      <c r="BI65" s="94">
        <f t="shared" si="261"/>
        <v>0</v>
      </c>
      <c r="BJ65" s="237">
        <f t="shared" si="380"/>
        <v>0</v>
      </c>
      <c r="BK65" s="237">
        <f t="shared" si="262"/>
        <v>0</v>
      </c>
      <c r="BL65" s="237">
        <f t="shared" si="263"/>
        <v>0</v>
      </c>
      <c r="BM65" s="237">
        <f t="shared" si="264"/>
        <v>0</v>
      </c>
      <c r="BN65" s="237">
        <f t="shared" si="265"/>
        <v>0</v>
      </c>
      <c r="BO65" s="237">
        <f t="shared" si="266"/>
        <v>0</v>
      </c>
      <c r="BP65" s="237">
        <f t="shared" si="267"/>
        <v>0</v>
      </c>
      <c r="BQ65" s="237">
        <f t="shared" si="268"/>
        <v>0</v>
      </c>
      <c r="BR65" s="237">
        <f t="shared" si="269"/>
        <v>0</v>
      </c>
      <c r="BS65" s="237">
        <f t="shared" si="270"/>
        <v>0</v>
      </c>
      <c r="BT65" s="237">
        <f t="shared" si="381"/>
        <v>0</v>
      </c>
      <c r="BU65" s="237">
        <f t="shared" si="382"/>
        <v>0</v>
      </c>
      <c r="BV65" s="237">
        <f t="shared" si="383"/>
        <v>0</v>
      </c>
      <c r="BW65" s="237">
        <f t="shared" si="384"/>
        <v>0</v>
      </c>
      <c r="BX65" s="237">
        <f t="shared" si="385"/>
        <v>0</v>
      </c>
      <c r="BY65" s="237">
        <f t="shared" si="386"/>
        <v>0</v>
      </c>
      <c r="BZ65" s="237">
        <f t="shared" si="387"/>
        <v>0</v>
      </c>
      <c r="CA65" s="237">
        <f t="shared" si="388"/>
        <v>0</v>
      </c>
      <c r="CB65" s="237">
        <f t="shared" si="389"/>
        <v>0</v>
      </c>
      <c r="CC65" s="237">
        <f t="shared" si="390"/>
        <v>0</v>
      </c>
      <c r="CD65" s="237">
        <f t="shared" si="391"/>
        <v>0</v>
      </c>
      <c r="CE65" s="237">
        <f t="shared" si="392"/>
        <v>0</v>
      </c>
      <c r="CF65" s="237">
        <f t="shared" si="393"/>
        <v>0</v>
      </c>
      <c r="CG65" s="237">
        <f t="shared" si="394"/>
        <v>0</v>
      </c>
      <c r="CH65" s="237">
        <f t="shared" si="395"/>
        <v>0</v>
      </c>
      <c r="CI65" s="3"/>
      <c r="CJ65" s="3"/>
      <c r="CK65" s="1"/>
      <c r="CL65" s="1"/>
      <c r="CM65" s="1"/>
      <c r="CN65" s="1"/>
      <c r="CO65" s="1"/>
      <c r="CP65" s="1"/>
      <c r="CQ65" s="1"/>
      <c r="CR65" s="524">
        <f t="shared" si="396"/>
        <v>0</v>
      </c>
      <c r="CT65" s="495" t="str">
        <f t="shared" si="397"/>
        <v/>
      </c>
      <c r="CU65" s="496" t="str">
        <f t="shared" si="398"/>
        <v/>
      </c>
      <c r="CV65" s="496" t="str">
        <f t="shared" si="399"/>
        <v/>
      </c>
      <c r="CW65" s="1"/>
      <c r="CX65" s="1026" t="str">
        <f t="shared" si="271"/>
        <v/>
      </c>
      <c r="CY65" s="1026" t="str">
        <f t="shared" si="272"/>
        <v/>
      </c>
      <c r="CZ65" s="1473" t="str">
        <f t="shared" si="273"/>
        <v/>
      </c>
      <c r="DA65" s="1473" t="str">
        <f t="shared" si="274"/>
        <v/>
      </c>
      <c r="DB65" s="1474" t="str">
        <f t="shared" si="275"/>
        <v/>
      </c>
      <c r="DC65" s="1474" t="str">
        <f t="shared" si="276"/>
        <v/>
      </c>
      <c r="DD65" s="1473" t="str">
        <f t="shared" si="400"/>
        <v/>
      </c>
      <c r="DE65" s="1473" t="str">
        <f t="shared" si="401"/>
        <v/>
      </c>
      <c r="DF65" s="1476" t="str">
        <f t="shared" si="277"/>
        <v/>
      </c>
      <c r="DG65" s="1476" t="str">
        <f t="shared" si="278"/>
        <v/>
      </c>
      <c r="DJ65" s="93" t="str">
        <f t="shared" si="402"/>
        <v/>
      </c>
      <c r="DK65" s="93" t="str">
        <f t="shared" si="403"/>
        <v/>
      </c>
      <c r="DL65" s="93">
        <f t="shared" si="404"/>
        <v>0</v>
      </c>
      <c r="DM65" s="93" t="str">
        <f t="shared" si="279"/>
        <v/>
      </c>
      <c r="DN65" s="33">
        <v>12</v>
      </c>
      <c r="DO65" s="93" t="str">
        <f t="shared" si="280"/>
        <v/>
      </c>
      <c r="DP65" s="1"/>
      <c r="DQ65" s="33">
        <v>12</v>
      </c>
      <c r="DR65" s="1486" t="str">
        <f t="shared" si="405"/>
        <v/>
      </c>
      <c r="DS65" s="144" t="str">
        <f t="shared" si="281"/>
        <v/>
      </c>
      <c r="DT65" s="144" t="str">
        <f t="shared" si="282"/>
        <v/>
      </c>
      <c r="DU65" s="144" t="str">
        <f t="shared" si="283"/>
        <v/>
      </c>
      <c r="DV65" s="144" t="str">
        <f t="shared" si="284"/>
        <v/>
      </c>
      <c r="DW65" s="144" t="str">
        <f t="shared" si="285"/>
        <v/>
      </c>
      <c r="DX65" s="144" t="str">
        <f t="shared" si="286"/>
        <v/>
      </c>
      <c r="DY65" s="144" t="str">
        <f t="shared" si="287"/>
        <v/>
      </c>
      <c r="DZ65" s="144" t="str">
        <f t="shared" si="288"/>
        <v/>
      </c>
      <c r="EA65" s="144" t="str">
        <f t="shared" si="289"/>
        <v/>
      </c>
      <c r="EB65" s="144" t="str">
        <f t="shared" si="290"/>
        <v/>
      </c>
      <c r="EC65" s="144" t="str">
        <f t="shared" si="291"/>
        <v/>
      </c>
      <c r="ED65" s="144" t="str">
        <f t="shared" si="292"/>
        <v/>
      </c>
      <c r="EE65" s="144" t="str">
        <f t="shared" si="293"/>
        <v/>
      </c>
      <c r="EF65" s="144" t="str">
        <f t="shared" si="294"/>
        <v/>
      </c>
      <c r="EG65" s="144" t="str">
        <f t="shared" si="295"/>
        <v/>
      </c>
      <c r="EH65" s="144" t="str">
        <f t="shared" si="296"/>
        <v/>
      </c>
      <c r="EI65" s="144" t="str">
        <f t="shared" si="297"/>
        <v/>
      </c>
      <c r="EJ65" s="144" t="str">
        <f t="shared" si="298"/>
        <v/>
      </c>
      <c r="EK65" s="144" t="str">
        <f t="shared" si="299"/>
        <v/>
      </c>
      <c r="EL65" s="144" t="str">
        <f t="shared" si="300"/>
        <v/>
      </c>
      <c r="EM65" s="144" t="str">
        <f t="shared" si="301"/>
        <v/>
      </c>
      <c r="EN65" s="720" t="str">
        <f t="shared" si="302"/>
        <v/>
      </c>
      <c r="EO65" s="720" t="str">
        <f t="shared" si="303"/>
        <v/>
      </c>
      <c r="EP65" s="720" t="str">
        <f t="shared" si="304"/>
        <v/>
      </c>
      <c r="EQ65" s="720" t="str">
        <f t="shared" si="305"/>
        <v/>
      </c>
      <c r="ER65" s="720" t="str">
        <f t="shared" si="306"/>
        <v/>
      </c>
      <c r="ES65" s="1460">
        <f t="shared" si="406"/>
        <v>0</v>
      </c>
      <c r="ET65" s="201">
        <f t="shared" si="407"/>
        <v>26</v>
      </c>
      <c r="EU65" s="137" t="str">
        <f t="shared" si="408"/>
        <v/>
      </c>
      <c r="EV65" s="290" t="str">
        <f t="shared" si="307"/>
        <v/>
      </c>
      <c r="EW65" s="290" t="str">
        <f t="shared" si="308"/>
        <v/>
      </c>
      <c r="EX65" s="725" t="str">
        <f t="shared" si="309"/>
        <v/>
      </c>
      <c r="EY65" s="1322">
        <f t="shared" si="310"/>
        <v>0</v>
      </c>
      <c r="EZ65" s="201">
        <f t="shared" si="409"/>
        <v>25</v>
      </c>
      <c r="FA65" s="1467" t="str">
        <f t="shared" si="410"/>
        <v/>
      </c>
      <c r="FB65" s="216" t="str">
        <f t="shared" si="411"/>
        <v/>
      </c>
      <c r="FC65" s="795" t="str" cm="1">
        <f t="array" ref="FC65">IF($FB65="","",INDEX($H$25:$H$49,$DN36))</f>
        <v/>
      </c>
      <c r="FD65" s="234" t="str">
        <f t="shared" si="412"/>
        <v/>
      </c>
      <c r="FE65" s="90">
        <f t="shared" si="311"/>
        <v>0</v>
      </c>
      <c r="FF65" s="711" t="str">
        <f t="shared" si="413"/>
        <v/>
      </c>
      <c r="FG65" s="712" t="str">
        <f t="shared" si="413"/>
        <v/>
      </c>
      <c r="FH65" s="701" t="str">
        <f t="shared" si="444"/>
        <v/>
      </c>
      <c r="FI65" s="704" t="str">
        <f t="shared" si="312"/>
        <v/>
      </c>
      <c r="FJ65" s="701">
        <f t="shared" si="313"/>
        <v>1</v>
      </c>
      <c r="FK65" s="128">
        <f t="shared" si="414"/>
        <v>0</v>
      </c>
      <c r="FL65" s="701" t="str">
        <f t="shared" si="415"/>
        <v/>
      </c>
      <c r="FM65" s="704" t="str">
        <f t="shared" si="314"/>
        <v/>
      </c>
      <c r="FN65" s="701">
        <f t="shared" si="315"/>
        <v>1</v>
      </c>
      <c r="FO65" s="128">
        <f t="shared" si="316"/>
        <v>0</v>
      </c>
      <c r="FP65" s="701" t="str">
        <f t="shared" si="416"/>
        <v/>
      </c>
      <c r="FQ65" s="704" t="str">
        <f t="shared" si="317"/>
        <v/>
      </c>
      <c r="FR65" s="701">
        <f t="shared" si="417"/>
        <v>1</v>
      </c>
      <c r="FS65" s="128">
        <f t="shared" si="318"/>
        <v>0</v>
      </c>
      <c r="FT65" s="701" t="str">
        <f t="shared" si="418"/>
        <v/>
      </c>
      <c r="FU65" s="704" t="str">
        <f t="shared" si="319"/>
        <v/>
      </c>
      <c r="FV65" s="701">
        <f t="shared" si="419"/>
        <v>1</v>
      </c>
      <c r="FW65" s="128">
        <f t="shared" si="320"/>
        <v>0</v>
      </c>
      <c r="FX65" s="701" t="str">
        <f t="shared" si="420"/>
        <v/>
      </c>
      <c r="FY65" s="704" t="str">
        <f t="shared" si="321"/>
        <v/>
      </c>
      <c r="FZ65" s="701">
        <f t="shared" si="421"/>
        <v>1</v>
      </c>
      <c r="GA65" s="128">
        <f t="shared" si="322"/>
        <v>0</v>
      </c>
      <c r="GB65" s="701" t="str">
        <f t="shared" si="422"/>
        <v/>
      </c>
      <c r="GC65" s="704" t="str">
        <f t="shared" si="323"/>
        <v/>
      </c>
      <c r="GD65" s="701">
        <f t="shared" si="423"/>
        <v>1</v>
      </c>
      <c r="GE65" s="128">
        <f t="shared" si="324"/>
        <v>0</v>
      </c>
      <c r="GF65" s="701" t="str">
        <f t="shared" si="424"/>
        <v/>
      </c>
      <c r="GG65" s="704" t="str">
        <f t="shared" si="325"/>
        <v/>
      </c>
      <c r="GH65" s="701">
        <f t="shared" si="326"/>
        <v>1</v>
      </c>
      <c r="GI65" s="128">
        <f t="shared" si="327"/>
        <v>0</v>
      </c>
      <c r="GJ65" s="701" t="str">
        <f t="shared" si="425"/>
        <v/>
      </c>
      <c r="GK65" s="704" t="str">
        <f t="shared" si="328"/>
        <v/>
      </c>
      <c r="GL65" s="701">
        <f t="shared" si="329"/>
        <v>1</v>
      </c>
      <c r="GM65" s="128">
        <f t="shared" si="330"/>
        <v>0</v>
      </c>
      <c r="GN65" s="701" t="str">
        <f t="shared" si="426"/>
        <v/>
      </c>
      <c r="GO65" s="704" t="str">
        <f t="shared" si="331"/>
        <v/>
      </c>
      <c r="GP65" s="701">
        <f t="shared" si="332"/>
        <v>1</v>
      </c>
      <c r="GQ65" s="128">
        <f t="shared" si="333"/>
        <v>0</v>
      </c>
      <c r="GR65" s="701" t="str">
        <f t="shared" si="427"/>
        <v/>
      </c>
      <c r="GS65" s="704" t="str">
        <f t="shared" si="334"/>
        <v/>
      </c>
      <c r="GT65" s="701">
        <f t="shared" si="335"/>
        <v>1</v>
      </c>
      <c r="GU65" s="128">
        <f t="shared" si="336"/>
        <v>0</v>
      </c>
      <c r="GV65" s="701" t="str">
        <f t="shared" si="428"/>
        <v/>
      </c>
      <c r="GW65" s="704" t="str">
        <f t="shared" si="337"/>
        <v/>
      </c>
      <c r="GX65" s="701">
        <f t="shared" si="338"/>
        <v>1</v>
      </c>
      <c r="GY65" s="128">
        <f t="shared" si="339"/>
        <v>0</v>
      </c>
      <c r="GZ65" s="701" t="str">
        <f t="shared" si="429"/>
        <v/>
      </c>
      <c r="HA65" s="704" t="str">
        <f t="shared" si="340"/>
        <v/>
      </c>
      <c r="HB65" s="701">
        <f t="shared" si="341"/>
        <v>1</v>
      </c>
      <c r="HC65" s="128">
        <f t="shared" si="342"/>
        <v>0</v>
      </c>
      <c r="HD65" s="701" t="str">
        <f t="shared" si="430"/>
        <v/>
      </c>
      <c r="HE65" s="704" t="str">
        <f t="shared" si="343"/>
        <v/>
      </c>
      <c r="HF65" s="701">
        <f t="shared" si="344"/>
        <v>1</v>
      </c>
      <c r="HG65" s="128">
        <f t="shared" si="345"/>
        <v>0</v>
      </c>
      <c r="HH65" s="701" t="str">
        <f t="shared" si="431"/>
        <v/>
      </c>
      <c r="HI65" s="704" t="str">
        <f t="shared" si="346"/>
        <v/>
      </c>
      <c r="HJ65" s="701">
        <f t="shared" si="347"/>
        <v>1</v>
      </c>
      <c r="HK65" s="128">
        <f t="shared" si="348"/>
        <v>0</v>
      </c>
      <c r="HL65" s="701" t="str">
        <f t="shared" si="432"/>
        <v/>
      </c>
      <c r="HM65" s="704" t="str">
        <f t="shared" si="349"/>
        <v/>
      </c>
      <c r="HN65" s="701">
        <f t="shared" si="350"/>
        <v>1</v>
      </c>
      <c r="HO65" s="128">
        <f t="shared" si="351"/>
        <v>0</v>
      </c>
      <c r="HP65" s="701" t="str">
        <f t="shared" si="433"/>
        <v/>
      </c>
      <c r="HQ65" s="704" t="str">
        <f t="shared" si="352"/>
        <v/>
      </c>
      <c r="HR65" s="701">
        <f t="shared" si="353"/>
        <v>1</v>
      </c>
      <c r="HS65" s="128">
        <f t="shared" si="354"/>
        <v>0</v>
      </c>
      <c r="HT65" s="701" t="str">
        <f t="shared" si="434"/>
        <v/>
      </c>
      <c r="HU65" s="704" t="str">
        <f t="shared" si="355"/>
        <v/>
      </c>
      <c r="HV65" s="701">
        <f t="shared" si="356"/>
        <v>1</v>
      </c>
      <c r="HW65" s="128">
        <f t="shared" si="357"/>
        <v>0</v>
      </c>
      <c r="HX65" s="701" t="str">
        <f t="shared" si="435"/>
        <v/>
      </c>
      <c r="HY65" s="704" t="str">
        <f t="shared" si="358"/>
        <v/>
      </c>
      <c r="HZ65" s="701">
        <f t="shared" si="359"/>
        <v>1</v>
      </c>
      <c r="IA65" s="128">
        <f t="shared" si="360"/>
        <v>0</v>
      </c>
      <c r="IB65" s="701" t="str">
        <f t="shared" si="436"/>
        <v/>
      </c>
      <c r="IC65" s="704" t="str">
        <f t="shared" si="361"/>
        <v/>
      </c>
      <c r="ID65" s="701">
        <f t="shared" si="362"/>
        <v>1</v>
      </c>
      <c r="IE65" s="128">
        <f t="shared" si="363"/>
        <v>0</v>
      </c>
      <c r="IF65" s="701" t="str">
        <f t="shared" si="437"/>
        <v/>
      </c>
      <c r="IG65" s="704" t="str">
        <f t="shared" si="364"/>
        <v/>
      </c>
      <c r="IH65" s="701">
        <f t="shared" si="365"/>
        <v>1</v>
      </c>
      <c r="II65" s="128">
        <f t="shared" si="366"/>
        <v>0</v>
      </c>
      <c r="IJ65" s="701" t="str">
        <f t="shared" si="438"/>
        <v/>
      </c>
      <c r="IK65" s="704" t="str">
        <f t="shared" si="367"/>
        <v/>
      </c>
      <c r="IL65" s="701">
        <f t="shared" si="368"/>
        <v>1</v>
      </c>
      <c r="IM65" s="128">
        <f t="shared" si="369"/>
        <v>0</v>
      </c>
      <c r="IN65" s="701" t="str">
        <f t="shared" si="439"/>
        <v/>
      </c>
      <c r="IO65" s="704" t="str">
        <f t="shared" si="370"/>
        <v/>
      </c>
      <c r="IP65" s="701">
        <f t="shared" si="371"/>
        <v>1</v>
      </c>
      <c r="IQ65" s="128">
        <f t="shared" si="372"/>
        <v>0</v>
      </c>
      <c r="IR65" s="701" t="str">
        <f t="shared" si="440"/>
        <v/>
      </c>
      <c r="IS65" s="704" t="str">
        <f t="shared" si="373"/>
        <v/>
      </c>
      <c r="IT65" s="701">
        <f t="shared" si="374"/>
        <v>1</v>
      </c>
      <c r="IU65" s="128">
        <f t="shared" si="375"/>
        <v>0</v>
      </c>
      <c r="IV65" s="701" t="str">
        <f t="shared" si="441"/>
        <v/>
      </c>
      <c r="IW65" s="704" t="str">
        <f t="shared" si="376"/>
        <v/>
      </c>
      <c r="IX65" s="701">
        <f t="shared" si="377"/>
        <v>1</v>
      </c>
      <c r="IY65" s="128">
        <f t="shared" si="378"/>
        <v>0</v>
      </c>
    </row>
    <row r="66" spans="3:259" s="2" customFormat="1" ht="13.3" thickTop="1" thickBot="1" x14ac:dyDescent="0.35">
      <c r="D66" s="1"/>
      <c r="E66" s="1"/>
      <c r="F66" s="1"/>
      <c r="G66" s="1"/>
      <c r="H66" s="1"/>
      <c r="J66" s="1"/>
      <c r="N66" s="769"/>
      <c r="O66" s="769"/>
      <c r="P66" s="769"/>
      <c r="Q66" s="769"/>
      <c r="T66" s="769"/>
      <c r="U66" s="769"/>
      <c r="V66" s="769"/>
      <c r="W66" s="769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T66" s="87" t="str">
        <f t="shared" si="443"/>
        <v/>
      </c>
      <c r="AU66" s="78" t="str">
        <f t="shared" ref="AU66:AU78" si="445">IF($F37="","",IF($F37=$F$31,$AW$31,IF($F37=$F$32,$AW$32,IF($F37=$F$33,$AW$33,IF($F37=$F$34,$AW$34,IF($F37=$F$35,$AW$35,IF($F37=$F$36,$AW$36,"")))))))</f>
        <v/>
      </c>
      <c r="AV66" s="78" t="str">
        <f t="shared" si="250"/>
        <v/>
      </c>
      <c r="AW66" s="78" t="str">
        <f t="shared" si="251"/>
        <v/>
      </c>
      <c r="AX66" s="239">
        <f t="shared" si="252"/>
        <v>0</v>
      </c>
      <c r="AY66" s="239" t="str">
        <f t="shared" si="253"/>
        <v/>
      </c>
      <c r="AZ66" s="214" t="str">
        <f t="shared" si="254"/>
        <v/>
      </c>
      <c r="BA66" s="214" t="str">
        <f t="shared" si="255"/>
        <v/>
      </c>
      <c r="BB66" s="214" t="str">
        <f t="shared" si="256"/>
        <v/>
      </c>
      <c r="BC66" s="214" t="str">
        <f t="shared" si="257"/>
        <v/>
      </c>
      <c r="BD66" s="1322">
        <f t="shared" si="379"/>
        <v>13</v>
      </c>
      <c r="BE66" s="1"/>
      <c r="BF66" s="214" t="str">
        <f t="shared" si="258"/>
        <v/>
      </c>
      <c r="BG66" s="94">
        <f t="shared" si="259"/>
        <v>0</v>
      </c>
      <c r="BH66" s="94">
        <f t="shared" si="260"/>
        <v>0</v>
      </c>
      <c r="BI66" s="94">
        <f t="shared" si="261"/>
        <v>0</v>
      </c>
      <c r="BJ66" s="237">
        <f t="shared" si="380"/>
        <v>0</v>
      </c>
      <c r="BK66" s="237">
        <f t="shared" si="262"/>
        <v>0</v>
      </c>
      <c r="BL66" s="237">
        <f t="shared" si="263"/>
        <v>0</v>
      </c>
      <c r="BM66" s="237">
        <f t="shared" si="264"/>
        <v>0</v>
      </c>
      <c r="BN66" s="237">
        <f t="shared" si="265"/>
        <v>0</v>
      </c>
      <c r="BO66" s="237">
        <f t="shared" si="266"/>
        <v>0</v>
      </c>
      <c r="BP66" s="237">
        <f t="shared" si="267"/>
        <v>0</v>
      </c>
      <c r="BQ66" s="237">
        <f t="shared" si="268"/>
        <v>0</v>
      </c>
      <c r="BR66" s="237">
        <f t="shared" si="269"/>
        <v>0</v>
      </c>
      <c r="BS66" s="237">
        <f t="shared" si="270"/>
        <v>0</v>
      </c>
      <c r="BT66" s="237">
        <f t="shared" si="381"/>
        <v>0</v>
      </c>
      <c r="BU66" s="237">
        <f t="shared" si="382"/>
        <v>0</v>
      </c>
      <c r="BV66" s="237">
        <f t="shared" si="383"/>
        <v>0</v>
      </c>
      <c r="BW66" s="237">
        <f t="shared" si="384"/>
        <v>0</v>
      </c>
      <c r="BX66" s="237">
        <f t="shared" si="385"/>
        <v>0</v>
      </c>
      <c r="BY66" s="237">
        <f t="shared" si="386"/>
        <v>0</v>
      </c>
      <c r="BZ66" s="237">
        <f t="shared" si="387"/>
        <v>0</v>
      </c>
      <c r="CA66" s="237">
        <f t="shared" si="388"/>
        <v>0</v>
      </c>
      <c r="CB66" s="237">
        <f t="shared" si="389"/>
        <v>0</v>
      </c>
      <c r="CC66" s="237">
        <f t="shared" si="390"/>
        <v>0</v>
      </c>
      <c r="CD66" s="237">
        <f t="shared" si="391"/>
        <v>0</v>
      </c>
      <c r="CE66" s="237">
        <f t="shared" si="392"/>
        <v>0</v>
      </c>
      <c r="CF66" s="237">
        <f t="shared" si="393"/>
        <v>0</v>
      </c>
      <c r="CG66" s="237">
        <f t="shared" si="394"/>
        <v>0</v>
      </c>
      <c r="CH66" s="237">
        <f t="shared" si="395"/>
        <v>0</v>
      </c>
      <c r="CI66" s="3"/>
      <c r="CJ66" s="3"/>
      <c r="CK66" s="1"/>
      <c r="CL66" s="1"/>
      <c r="CM66" s="1"/>
      <c r="CN66" s="1"/>
      <c r="CO66" s="1"/>
      <c r="CP66" s="1"/>
      <c r="CQ66" s="1"/>
      <c r="CR66" s="524">
        <f t="shared" si="396"/>
        <v>0</v>
      </c>
      <c r="CT66" s="495" t="str">
        <f t="shared" si="397"/>
        <v/>
      </c>
      <c r="CU66" s="496" t="str">
        <f t="shared" si="398"/>
        <v/>
      </c>
      <c r="CV66" s="496" t="str">
        <f t="shared" si="399"/>
        <v/>
      </c>
      <c r="CW66" s="1"/>
      <c r="CX66" s="1026" t="str">
        <f t="shared" si="271"/>
        <v/>
      </c>
      <c r="CY66" s="1026" t="str">
        <f t="shared" si="272"/>
        <v/>
      </c>
      <c r="CZ66" s="1473" t="str">
        <f t="shared" si="273"/>
        <v/>
      </c>
      <c r="DA66" s="1473" t="str">
        <f t="shared" si="274"/>
        <v/>
      </c>
      <c r="DB66" s="1474" t="str">
        <f t="shared" si="275"/>
        <v/>
      </c>
      <c r="DC66" s="1474" t="str">
        <f t="shared" si="276"/>
        <v/>
      </c>
      <c r="DD66" s="1473" t="str">
        <f t="shared" si="400"/>
        <v/>
      </c>
      <c r="DE66" s="1473" t="str">
        <f t="shared" si="401"/>
        <v/>
      </c>
      <c r="DF66" s="1476" t="str">
        <f t="shared" si="277"/>
        <v/>
      </c>
      <c r="DG66" s="1476" t="str">
        <f t="shared" si="278"/>
        <v/>
      </c>
      <c r="DJ66" s="93" t="str">
        <f t="shared" si="402"/>
        <v/>
      </c>
      <c r="DK66" s="93" t="str">
        <f t="shared" si="403"/>
        <v/>
      </c>
      <c r="DL66" s="93">
        <f t="shared" si="404"/>
        <v>0</v>
      </c>
      <c r="DM66" s="93" t="str">
        <f t="shared" si="279"/>
        <v/>
      </c>
      <c r="DN66" s="33">
        <v>13</v>
      </c>
      <c r="DO66" s="93" t="str">
        <f t="shared" si="280"/>
        <v/>
      </c>
      <c r="DP66" s="1"/>
      <c r="DQ66" s="33">
        <v>13</v>
      </c>
      <c r="DR66" s="1486" t="str">
        <f t="shared" si="405"/>
        <v/>
      </c>
      <c r="DS66" s="144" t="str">
        <f t="shared" si="281"/>
        <v/>
      </c>
      <c r="DT66" s="144" t="str">
        <f t="shared" si="282"/>
        <v/>
      </c>
      <c r="DU66" s="144" t="str">
        <f t="shared" si="283"/>
        <v/>
      </c>
      <c r="DV66" s="144" t="str">
        <f t="shared" si="284"/>
        <v/>
      </c>
      <c r="DW66" s="144" t="str">
        <f t="shared" si="285"/>
        <v/>
      </c>
      <c r="DX66" s="144" t="str">
        <f t="shared" si="286"/>
        <v/>
      </c>
      <c r="DY66" s="144" t="str">
        <f t="shared" si="287"/>
        <v/>
      </c>
      <c r="DZ66" s="144" t="str">
        <f t="shared" si="288"/>
        <v/>
      </c>
      <c r="EA66" s="144" t="str">
        <f t="shared" si="289"/>
        <v/>
      </c>
      <c r="EB66" s="144" t="str">
        <f t="shared" si="290"/>
        <v/>
      </c>
      <c r="EC66" s="144" t="str">
        <f t="shared" si="291"/>
        <v/>
      </c>
      <c r="ED66" s="144" t="str">
        <f t="shared" si="292"/>
        <v/>
      </c>
      <c r="EE66" s="144" t="str">
        <f t="shared" si="293"/>
        <v/>
      </c>
      <c r="EF66" s="144" t="str">
        <f t="shared" si="294"/>
        <v/>
      </c>
      <c r="EG66" s="144" t="str">
        <f t="shared" si="295"/>
        <v/>
      </c>
      <c r="EH66" s="144" t="str">
        <f t="shared" si="296"/>
        <v/>
      </c>
      <c r="EI66" s="144" t="str">
        <f t="shared" si="297"/>
        <v/>
      </c>
      <c r="EJ66" s="144" t="str">
        <f t="shared" si="298"/>
        <v/>
      </c>
      <c r="EK66" s="144" t="str">
        <f t="shared" si="299"/>
        <v/>
      </c>
      <c r="EL66" s="144" t="str">
        <f t="shared" si="300"/>
        <v/>
      </c>
      <c r="EM66" s="144" t="str">
        <f t="shared" si="301"/>
        <v/>
      </c>
      <c r="EN66" s="720" t="str">
        <f t="shared" si="302"/>
        <v/>
      </c>
      <c r="EO66" s="720" t="str">
        <f t="shared" si="303"/>
        <v/>
      </c>
      <c r="EP66" s="720" t="str">
        <f t="shared" si="304"/>
        <v/>
      </c>
      <c r="EQ66" s="720" t="str">
        <f t="shared" si="305"/>
        <v/>
      </c>
      <c r="ER66" s="720" t="str">
        <f t="shared" si="306"/>
        <v/>
      </c>
      <c r="ES66" s="1460">
        <f t="shared" si="406"/>
        <v>0</v>
      </c>
      <c r="ET66" s="201">
        <f t="shared" si="407"/>
        <v>26</v>
      </c>
      <c r="EU66" s="137" t="str">
        <f t="shared" si="408"/>
        <v/>
      </c>
      <c r="EV66" s="290" t="str">
        <f t="shared" si="307"/>
        <v/>
      </c>
      <c r="EW66" s="290" t="str">
        <f t="shared" si="308"/>
        <v/>
      </c>
      <c r="EX66" s="725" t="str">
        <f t="shared" si="309"/>
        <v/>
      </c>
      <c r="EY66" s="1322">
        <f t="shared" si="310"/>
        <v>0</v>
      </c>
      <c r="EZ66" s="201">
        <f t="shared" si="409"/>
        <v>25</v>
      </c>
      <c r="FA66" s="1467" t="str">
        <f t="shared" si="410"/>
        <v/>
      </c>
      <c r="FB66" s="216" t="str">
        <f t="shared" si="411"/>
        <v/>
      </c>
      <c r="FC66" s="795" t="str" cm="1">
        <f t="array" ref="FC66">IF($FB66="","",INDEX($H$25:$H$49,$DN37))</f>
        <v/>
      </c>
      <c r="FD66" s="234" t="str">
        <f t="shared" si="412"/>
        <v/>
      </c>
      <c r="FE66" s="90">
        <f t="shared" si="311"/>
        <v>0</v>
      </c>
      <c r="FF66" s="711" t="str">
        <f t="shared" si="413"/>
        <v/>
      </c>
      <c r="FG66" s="712" t="str">
        <f t="shared" si="413"/>
        <v/>
      </c>
      <c r="FH66" s="701" t="str">
        <f t="shared" si="444"/>
        <v/>
      </c>
      <c r="FI66" s="704" t="str">
        <f t="shared" si="312"/>
        <v/>
      </c>
      <c r="FJ66" s="701">
        <f t="shared" si="313"/>
        <v>1</v>
      </c>
      <c r="FK66" s="128">
        <f t="shared" si="414"/>
        <v>0</v>
      </c>
      <c r="FL66" s="701" t="str">
        <f t="shared" si="415"/>
        <v/>
      </c>
      <c r="FM66" s="704" t="str">
        <f t="shared" si="314"/>
        <v/>
      </c>
      <c r="FN66" s="701">
        <f t="shared" si="315"/>
        <v>1</v>
      </c>
      <c r="FO66" s="128">
        <f t="shared" si="316"/>
        <v>0</v>
      </c>
      <c r="FP66" s="701" t="str">
        <f t="shared" si="416"/>
        <v/>
      </c>
      <c r="FQ66" s="704" t="str">
        <f t="shared" si="317"/>
        <v/>
      </c>
      <c r="FR66" s="701">
        <f t="shared" si="417"/>
        <v>1</v>
      </c>
      <c r="FS66" s="128">
        <f t="shared" si="318"/>
        <v>0</v>
      </c>
      <c r="FT66" s="701" t="str">
        <f t="shared" si="418"/>
        <v/>
      </c>
      <c r="FU66" s="704" t="str">
        <f t="shared" si="319"/>
        <v/>
      </c>
      <c r="FV66" s="701">
        <f t="shared" si="419"/>
        <v>1</v>
      </c>
      <c r="FW66" s="128">
        <f t="shared" si="320"/>
        <v>0</v>
      </c>
      <c r="FX66" s="701" t="str">
        <f t="shared" si="420"/>
        <v/>
      </c>
      <c r="FY66" s="704" t="str">
        <f t="shared" si="321"/>
        <v/>
      </c>
      <c r="FZ66" s="701">
        <f t="shared" si="421"/>
        <v>1</v>
      </c>
      <c r="GA66" s="128">
        <f t="shared" si="322"/>
        <v>0</v>
      </c>
      <c r="GB66" s="701" t="str">
        <f t="shared" si="422"/>
        <v/>
      </c>
      <c r="GC66" s="704" t="str">
        <f t="shared" si="323"/>
        <v/>
      </c>
      <c r="GD66" s="701">
        <f t="shared" si="423"/>
        <v>1</v>
      </c>
      <c r="GE66" s="128">
        <f t="shared" si="324"/>
        <v>0</v>
      </c>
      <c r="GF66" s="701" t="str">
        <f t="shared" si="424"/>
        <v/>
      </c>
      <c r="GG66" s="704" t="str">
        <f t="shared" si="325"/>
        <v/>
      </c>
      <c r="GH66" s="701">
        <f t="shared" si="326"/>
        <v>1</v>
      </c>
      <c r="GI66" s="128">
        <f t="shared" si="327"/>
        <v>0</v>
      </c>
      <c r="GJ66" s="701" t="str">
        <f t="shared" si="425"/>
        <v/>
      </c>
      <c r="GK66" s="704" t="str">
        <f t="shared" si="328"/>
        <v/>
      </c>
      <c r="GL66" s="701">
        <f t="shared" si="329"/>
        <v>1</v>
      </c>
      <c r="GM66" s="128">
        <f t="shared" si="330"/>
        <v>0</v>
      </c>
      <c r="GN66" s="701" t="str">
        <f t="shared" si="426"/>
        <v/>
      </c>
      <c r="GO66" s="704" t="str">
        <f t="shared" si="331"/>
        <v/>
      </c>
      <c r="GP66" s="701">
        <f t="shared" si="332"/>
        <v>1</v>
      </c>
      <c r="GQ66" s="128">
        <f t="shared" si="333"/>
        <v>0</v>
      </c>
      <c r="GR66" s="701" t="str">
        <f t="shared" si="427"/>
        <v/>
      </c>
      <c r="GS66" s="704" t="str">
        <f t="shared" si="334"/>
        <v/>
      </c>
      <c r="GT66" s="701">
        <f t="shared" si="335"/>
        <v>1</v>
      </c>
      <c r="GU66" s="128">
        <f t="shared" si="336"/>
        <v>0</v>
      </c>
      <c r="GV66" s="701" t="str">
        <f t="shared" si="428"/>
        <v/>
      </c>
      <c r="GW66" s="704" t="str">
        <f t="shared" si="337"/>
        <v/>
      </c>
      <c r="GX66" s="701">
        <f t="shared" si="338"/>
        <v>1</v>
      </c>
      <c r="GY66" s="128">
        <f t="shared" si="339"/>
        <v>0</v>
      </c>
      <c r="GZ66" s="701" t="str">
        <f t="shared" si="429"/>
        <v/>
      </c>
      <c r="HA66" s="704" t="str">
        <f t="shared" si="340"/>
        <v/>
      </c>
      <c r="HB66" s="701">
        <f t="shared" si="341"/>
        <v>1</v>
      </c>
      <c r="HC66" s="128">
        <f t="shared" si="342"/>
        <v>0</v>
      </c>
      <c r="HD66" s="701" t="str">
        <f t="shared" si="430"/>
        <v/>
      </c>
      <c r="HE66" s="704" t="str">
        <f t="shared" si="343"/>
        <v/>
      </c>
      <c r="HF66" s="701">
        <f t="shared" si="344"/>
        <v>1</v>
      </c>
      <c r="HG66" s="128">
        <f t="shared" si="345"/>
        <v>0</v>
      </c>
      <c r="HH66" s="701" t="str">
        <f t="shared" si="431"/>
        <v/>
      </c>
      <c r="HI66" s="704" t="str">
        <f t="shared" si="346"/>
        <v/>
      </c>
      <c r="HJ66" s="701">
        <f t="shared" si="347"/>
        <v>1</v>
      </c>
      <c r="HK66" s="128">
        <f t="shared" si="348"/>
        <v>0</v>
      </c>
      <c r="HL66" s="701" t="str">
        <f t="shared" si="432"/>
        <v/>
      </c>
      <c r="HM66" s="704" t="str">
        <f t="shared" si="349"/>
        <v/>
      </c>
      <c r="HN66" s="701">
        <f t="shared" si="350"/>
        <v>1</v>
      </c>
      <c r="HO66" s="128">
        <f t="shared" si="351"/>
        <v>0</v>
      </c>
      <c r="HP66" s="701" t="str">
        <f t="shared" si="433"/>
        <v/>
      </c>
      <c r="HQ66" s="704" t="str">
        <f t="shared" si="352"/>
        <v/>
      </c>
      <c r="HR66" s="701">
        <f t="shared" si="353"/>
        <v>1</v>
      </c>
      <c r="HS66" s="128">
        <f t="shared" si="354"/>
        <v>0</v>
      </c>
      <c r="HT66" s="701" t="str">
        <f t="shared" si="434"/>
        <v/>
      </c>
      <c r="HU66" s="704" t="str">
        <f t="shared" si="355"/>
        <v/>
      </c>
      <c r="HV66" s="701">
        <f t="shared" si="356"/>
        <v>1</v>
      </c>
      <c r="HW66" s="128">
        <f t="shared" si="357"/>
        <v>0</v>
      </c>
      <c r="HX66" s="701" t="str">
        <f t="shared" si="435"/>
        <v/>
      </c>
      <c r="HY66" s="704" t="str">
        <f t="shared" si="358"/>
        <v/>
      </c>
      <c r="HZ66" s="701">
        <f t="shared" si="359"/>
        <v>1</v>
      </c>
      <c r="IA66" s="128">
        <f t="shared" si="360"/>
        <v>0</v>
      </c>
      <c r="IB66" s="701" t="str">
        <f t="shared" si="436"/>
        <v/>
      </c>
      <c r="IC66" s="704" t="str">
        <f t="shared" si="361"/>
        <v/>
      </c>
      <c r="ID66" s="701">
        <f t="shared" si="362"/>
        <v>1</v>
      </c>
      <c r="IE66" s="128">
        <f t="shared" si="363"/>
        <v>0</v>
      </c>
      <c r="IF66" s="701" t="str">
        <f t="shared" si="437"/>
        <v/>
      </c>
      <c r="IG66" s="704" t="str">
        <f t="shared" si="364"/>
        <v/>
      </c>
      <c r="IH66" s="701">
        <f t="shared" si="365"/>
        <v>1</v>
      </c>
      <c r="II66" s="128">
        <f t="shared" si="366"/>
        <v>0</v>
      </c>
      <c r="IJ66" s="701" t="str">
        <f t="shared" si="438"/>
        <v/>
      </c>
      <c r="IK66" s="704" t="str">
        <f t="shared" si="367"/>
        <v/>
      </c>
      <c r="IL66" s="701">
        <f t="shared" si="368"/>
        <v>1</v>
      </c>
      <c r="IM66" s="128">
        <f t="shared" si="369"/>
        <v>0</v>
      </c>
      <c r="IN66" s="701" t="str">
        <f t="shared" si="439"/>
        <v/>
      </c>
      <c r="IO66" s="704" t="str">
        <f t="shared" si="370"/>
        <v/>
      </c>
      <c r="IP66" s="701">
        <f t="shared" si="371"/>
        <v>1</v>
      </c>
      <c r="IQ66" s="128">
        <f t="shared" si="372"/>
        <v>0</v>
      </c>
      <c r="IR66" s="701" t="str">
        <f t="shared" si="440"/>
        <v/>
      </c>
      <c r="IS66" s="704" t="str">
        <f t="shared" si="373"/>
        <v/>
      </c>
      <c r="IT66" s="701">
        <f t="shared" si="374"/>
        <v>1</v>
      </c>
      <c r="IU66" s="128">
        <f t="shared" si="375"/>
        <v>0</v>
      </c>
      <c r="IV66" s="701" t="str">
        <f t="shared" si="441"/>
        <v/>
      </c>
      <c r="IW66" s="704" t="str">
        <f t="shared" si="376"/>
        <v/>
      </c>
      <c r="IX66" s="701">
        <f t="shared" si="377"/>
        <v>1</v>
      </c>
      <c r="IY66" s="128">
        <f t="shared" si="378"/>
        <v>0</v>
      </c>
    </row>
    <row r="67" spans="3:259" s="2" customFormat="1" ht="13.3" thickTop="1" thickBot="1" x14ac:dyDescent="0.35">
      <c r="D67" s="1"/>
      <c r="E67" s="1"/>
      <c r="F67" s="1"/>
      <c r="G67" s="1"/>
      <c r="H67" s="1"/>
      <c r="J67" s="1"/>
      <c r="N67" s="769"/>
      <c r="O67" s="769"/>
      <c r="P67" s="769"/>
      <c r="Q67" s="769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T67" s="87" t="str">
        <f t="shared" si="443"/>
        <v/>
      </c>
      <c r="AU67" s="78" t="str">
        <f t="shared" si="445"/>
        <v/>
      </c>
      <c r="AV67" s="78" t="str">
        <f>IF($F38="","",IF($F38=$F$37,$AW$37,IF($F38=$F$39,$AW$39,IF($F38=$F$40,$AW$40,IF($F38=$F$41,$AW$41,IF($F38=$F$42,$AW$42,IF($F38=$F$43,$AW$43,IF($F38=$F$44,$AW$44,""))))))))</f>
        <v/>
      </c>
      <c r="AW67" s="78" t="str">
        <f t="shared" si="251"/>
        <v/>
      </c>
      <c r="AX67" s="239">
        <f t="shared" si="252"/>
        <v>0</v>
      </c>
      <c r="AY67" s="239" t="str">
        <f t="shared" si="253"/>
        <v/>
      </c>
      <c r="AZ67" s="214" t="str">
        <f t="shared" si="254"/>
        <v/>
      </c>
      <c r="BA67" s="214" t="str">
        <f t="shared" si="255"/>
        <v/>
      </c>
      <c r="BB67" s="214" t="str">
        <f t="shared" si="256"/>
        <v/>
      </c>
      <c r="BC67" s="214" t="str">
        <f t="shared" si="257"/>
        <v/>
      </c>
      <c r="BD67" s="1322">
        <f t="shared" si="379"/>
        <v>14</v>
      </c>
      <c r="BE67" s="1"/>
      <c r="BF67" s="214" t="str">
        <f t="shared" si="258"/>
        <v/>
      </c>
      <c r="BG67" s="94">
        <f t="shared" si="259"/>
        <v>0</v>
      </c>
      <c r="BH67" s="94">
        <f t="shared" si="260"/>
        <v>0</v>
      </c>
      <c r="BI67" s="94">
        <f t="shared" si="261"/>
        <v>0</v>
      </c>
      <c r="BJ67" s="237">
        <f t="shared" si="380"/>
        <v>0</v>
      </c>
      <c r="BK67" s="237">
        <f t="shared" si="262"/>
        <v>0</v>
      </c>
      <c r="BL67" s="237">
        <f t="shared" si="263"/>
        <v>0</v>
      </c>
      <c r="BM67" s="237">
        <f t="shared" si="264"/>
        <v>0</v>
      </c>
      <c r="BN67" s="237">
        <f t="shared" si="265"/>
        <v>0</v>
      </c>
      <c r="BO67" s="237">
        <f t="shared" si="266"/>
        <v>0</v>
      </c>
      <c r="BP67" s="237">
        <f t="shared" si="267"/>
        <v>0</v>
      </c>
      <c r="BQ67" s="237">
        <f t="shared" si="268"/>
        <v>0</v>
      </c>
      <c r="BR67" s="237">
        <f t="shared" si="269"/>
        <v>0</v>
      </c>
      <c r="BS67" s="237">
        <f t="shared" si="270"/>
        <v>0</v>
      </c>
      <c r="BT67" s="237">
        <f t="shared" si="381"/>
        <v>0</v>
      </c>
      <c r="BU67" s="237">
        <f t="shared" si="382"/>
        <v>0</v>
      </c>
      <c r="BV67" s="237">
        <f t="shared" si="383"/>
        <v>0</v>
      </c>
      <c r="BW67" s="237">
        <f t="shared" si="384"/>
        <v>0</v>
      </c>
      <c r="BX67" s="237">
        <f t="shared" si="385"/>
        <v>0</v>
      </c>
      <c r="BY67" s="237">
        <f t="shared" si="386"/>
        <v>0</v>
      </c>
      <c r="BZ67" s="237">
        <f t="shared" si="387"/>
        <v>0</v>
      </c>
      <c r="CA67" s="237">
        <f t="shared" si="388"/>
        <v>0</v>
      </c>
      <c r="CB67" s="237">
        <f t="shared" si="389"/>
        <v>0</v>
      </c>
      <c r="CC67" s="237">
        <f t="shared" si="390"/>
        <v>0</v>
      </c>
      <c r="CD67" s="237">
        <f t="shared" si="391"/>
        <v>0</v>
      </c>
      <c r="CE67" s="237">
        <f t="shared" si="392"/>
        <v>0</v>
      </c>
      <c r="CF67" s="237">
        <f t="shared" si="393"/>
        <v>0</v>
      </c>
      <c r="CG67" s="237">
        <f t="shared" si="394"/>
        <v>0</v>
      </c>
      <c r="CH67" s="237">
        <f t="shared" si="395"/>
        <v>0</v>
      </c>
      <c r="CI67" s="3"/>
      <c r="CJ67" s="3"/>
      <c r="CK67" s="1"/>
      <c r="CL67" s="1"/>
      <c r="CM67" s="1"/>
      <c r="CN67" s="1"/>
      <c r="CO67" s="1"/>
      <c r="CP67" s="1"/>
      <c r="CQ67" s="1"/>
      <c r="CR67" s="524">
        <f t="shared" si="396"/>
        <v>0</v>
      </c>
      <c r="CT67" s="495" t="str">
        <f t="shared" si="397"/>
        <v/>
      </c>
      <c r="CU67" s="496" t="str">
        <f t="shared" si="398"/>
        <v/>
      </c>
      <c r="CV67" s="496" t="str">
        <f t="shared" si="399"/>
        <v/>
      </c>
      <c r="CW67" s="1"/>
      <c r="CX67" s="1026" t="str">
        <f t="shared" si="271"/>
        <v/>
      </c>
      <c r="CY67" s="1026" t="str">
        <f t="shared" si="272"/>
        <v/>
      </c>
      <c r="CZ67" s="1473" t="str">
        <f t="shared" si="273"/>
        <v/>
      </c>
      <c r="DA67" s="1473" t="str">
        <f t="shared" si="274"/>
        <v/>
      </c>
      <c r="DB67" s="1474" t="str">
        <f t="shared" si="275"/>
        <v/>
      </c>
      <c r="DC67" s="1474" t="str">
        <f t="shared" si="276"/>
        <v/>
      </c>
      <c r="DD67" s="1473" t="str">
        <f t="shared" si="400"/>
        <v/>
      </c>
      <c r="DE67" s="1473" t="str">
        <f t="shared" si="401"/>
        <v/>
      </c>
      <c r="DF67" s="1476" t="str">
        <f t="shared" si="277"/>
        <v/>
      </c>
      <c r="DG67" s="1476" t="str">
        <f t="shared" si="278"/>
        <v/>
      </c>
      <c r="DJ67" s="93" t="str">
        <f t="shared" si="402"/>
        <v/>
      </c>
      <c r="DK67" s="93" t="str">
        <f t="shared" si="403"/>
        <v/>
      </c>
      <c r="DL67" s="93">
        <f t="shared" si="404"/>
        <v>0</v>
      </c>
      <c r="DM67" s="93" t="str">
        <f t="shared" si="279"/>
        <v/>
      </c>
      <c r="DN67" s="33">
        <v>14</v>
      </c>
      <c r="DO67" s="93" t="str">
        <f t="shared" si="280"/>
        <v/>
      </c>
      <c r="DP67" s="1"/>
      <c r="DQ67" s="33">
        <v>14</v>
      </c>
      <c r="DR67" s="1486" t="str">
        <f t="shared" si="405"/>
        <v/>
      </c>
      <c r="DS67" s="144" t="str">
        <f t="shared" si="281"/>
        <v/>
      </c>
      <c r="DT67" s="144" t="str">
        <f t="shared" si="282"/>
        <v/>
      </c>
      <c r="DU67" s="144" t="str">
        <f t="shared" si="283"/>
        <v/>
      </c>
      <c r="DV67" s="144" t="str">
        <f t="shared" si="284"/>
        <v/>
      </c>
      <c r="DW67" s="144" t="str">
        <f t="shared" si="285"/>
        <v/>
      </c>
      <c r="DX67" s="144" t="str">
        <f t="shared" si="286"/>
        <v/>
      </c>
      <c r="DY67" s="144" t="str">
        <f t="shared" si="287"/>
        <v/>
      </c>
      <c r="DZ67" s="144" t="str">
        <f t="shared" si="288"/>
        <v/>
      </c>
      <c r="EA67" s="144" t="str">
        <f t="shared" si="289"/>
        <v/>
      </c>
      <c r="EB67" s="144" t="str">
        <f t="shared" si="290"/>
        <v/>
      </c>
      <c r="EC67" s="144" t="str">
        <f t="shared" si="291"/>
        <v/>
      </c>
      <c r="ED67" s="144" t="str">
        <f t="shared" si="292"/>
        <v/>
      </c>
      <c r="EE67" s="144" t="str">
        <f t="shared" si="293"/>
        <v/>
      </c>
      <c r="EF67" s="144" t="str">
        <f t="shared" si="294"/>
        <v/>
      </c>
      <c r="EG67" s="144" t="str">
        <f t="shared" si="295"/>
        <v/>
      </c>
      <c r="EH67" s="144" t="str">
        <f t="shared" si="296"/>
        <v/>
      </c>
      <c r="EI67" s="144" t="str">
        <f t="shared" si="297"/>
        <v/>
      </c>
      <c r="EJ67" s="144" t="str">
        <f t="shared" si="298"/>
        <v/>
      </c>
      <c r="EK67" s="144" t="str">
        <f t="shared" si="299"/>
        <v/>
      </c>
      <c r="EL67" s="144" t="str">
        <f t="shared" si="300"/>
        <v/>
      </c>
      <c r="EM67" s="144" t="str">
        <f t="shared" si="301"/>
        <v/>
      </c>
      <c r="EN67" s="720" t="str">
        <f t="shared" si="302"/>
        <v/>
      </c>
      <c r="EO67" s="720" t="str">
        <f t="shared" si="303"/>
        <v/>
      </c>
      <c r="EP67" s="720" t="str">
        <f t="shared" si="304"/>
        <v/>
      </c>
      <c r="EQ67" s="720" t="str">
        <f t="shared" si="305"/>
        <v/>
      </c>
      <c r="ER67" s="720" t="str">
        <f t="shared" si="306"/>
        <v/>
      </c>
      <c r="ES67" s="1460">
        <f t="shared" si="406"/>
        <v>0</v>
      </c>
      <c r="ET67" s="201">
        <f t="shared" si="407"/>
        <v>26</v>
      </c>
      <c r="EU67" s="137" t="str">
        <f t="shared" si="408"/>
        <v/>
      </c>
      <c r="EV67" s="290" t="str">
        <f t="shared" si="307"/>
        <v/>
      </c>
      <c r="EW67" s="290" t="str">
        <f t="shared" si="308"/>
        <v/>
      </c>
      <c r="EX67" s="725" t="str">
        <f t="shared" si="309"/>
        <v/>
      </c>
      <c r="EY67" s="1322">
        <f t="shared" si="310"/>
        <v>0</v>
      </c>
      <c r="EZ67" s="201">
        <f t="shared" si="409"/>
        <v>25</v>
      </c>
      <c r="FA67" s="1467" t="str">
        <f t="shared" si="410"/>
        <v/>
      </c>
      <c r="FB67" s="216" t="str">
        <f t="shared" si="411"/>
        <v/>
      </c>
      <c r="FC67" s="795" t="str" cm="1">
        <f t="array" ref="FC67">IF($FB67="","",INDEX($H$25:$H$49,$DN38))</f>
        <v/>
      </c>
      <c r="FD67" s="234" t="str">
        <f t="shared" si="412"/>
        <v/>
      </c>
      <c r="FE67" s="90">
        <f t="shared" si="311"/>
        <v>0</v>
      </c>
      <c r="FF67" s="711" t="str">
        <f t="shared" si="413"/>
        <v/>
      </c>
      <c r="FG67" s="712" t="str">
        <f t="shared" si="413"/>
        <v/>
      </c>
      <c r="FH67" s="701" t="str">
        <f t="shared" si="444"/>
        <v/>
      </c>
      <c r="FI67" s="704" t="str">
        <f t="shared" si="312"/>
        <v/>
      </c>
      <c r="FJ67" s="701">
        <f t="shared" si="313"/>
        <v>1</v>
      </c>
      <c r="FK67" s="128">
        <f t="shared" si="414"/>
        <v>0</v>
      </c>
      <c r="FL67" s="701" t="str">
        <f t="shared" si="415"/>
        <v/>
      </c>
      <c r="FM67" s="704" t="str">
        <f t="shared" si="314"/>
        <v/>
      </c>
      <c r="FN67" s="701">
        <f t="shared" si="315"/>
        <v>1</v>
      </c>
      <c r="FO67" s="128">
        <f t="shared" si="316"/>
        <v>0</v>
      </c>
      <c r="FP67" s="701" t="str">
        <f t="shared" si="416"/>
        <v/>
      </c>
      <c r="FQ67" s="704" t="str">
        <f t="shared" si="317"/>
        <v/>
      </c>
      <c r="FR67" s="701">
        <f t="shared" si="417"/>
        <v>1</v>
      </c>
      <c r="FS67" s="128">
        <f t="shared" si="318"/>
        <v>0</v>
      </c>
      <c r="FT67" s="701" t="str">
        <f t="shared" si="418"/>
        <v/>
      </c>
      <c r="FU67" s="704" t="str">
        <f t="shared" si="319"/>
        <v/>
      </c>
      <c r="FV67" s="701">
        <f t="shared" si="419"/>
        <v>1</v>
      </c>
      <c r="FW67" s="128">
        <f t="shared" si="320"/>
        <v>0</v>
      </c>
      <c r="FX67" s="701" t="str">
        <f t="shared" si="420"/>
        <v/>
      </c>
      <c r="FY67" s="704" t="str">
        <f t="shared" si="321"/>
        <v/>
      </c>
      <c r="FZ67" s="701">
        <f t="shared" si="421"/>
        <v>1</v>
      </c>
      <c r="GA67" s="128">
        <f t="shared" si="322"/>
        <v>0</v>
      </c>
      <c r="GB67" s="701" t="str">
        <f t="shared" si="422"/>
        <v/>
      </c>
      <c r="GC67" s="704" t="str">
        <f t="shared" si="323"/>
        <v/>
      </c>
      <c r="GD67" s="701">
        <f t="shared" si="423"/>
        <v>1</v>
      </c>
      <c r="GE67" s="128">
        <f t="shared" si="324"/>
        <v>0</v>
      </c>
      <c r="GF67" s="701" t="str">
        <f t="shared" si="424"/>
        <v/>
      </c>
      <c r="GG67" s="704" t="str">
        <f t="shared" si="325"/>
        <v/>
      </c>
      <c r="GH67" s="701">
        <f t="shared" si="326"/>
        <v>1</v>
      </c>
      <c r="GI67" s="128">
        <f t="shared" si="327"/>
        <v>0</v>
      </c>
      <c r="GJ67" s="701" t="str">
        <f t="shared" si="425"/>
        <v/>
      </c>
      <c r="GK67" s="704" t="str">
        <f t="shared" si="328"/>
        <v/>
      </c>
      <c r="GL67" s="701">
        <f t="shared" si="329"/>
        <v>1</v>
      </c>
      <c r="GM67" s="128">
        <f t="shared" si="330"/>
        <v>0</v>
      </c>
      <c r="GN67" s="701" t="str">
        <f t="shared" si="426"/>
        <v/>
      </c>
      <c r="GO67" s="704" t="str">
        <f t="shared" si="331"/>
        <v/>
      </c>
      <c r="GP67" s="701">
        <f t="shared" si="332"/>
        <v>1</v>
      </c>
      <c r="GQ67" s="128">
        <f t="shared" si="333"/>
        <v>0</v>
      </c>
      <c r="GR67" s="701" t="str">
        <f t="shared" si="427"/>
        <v/>
      </c>
      <c r="GS67" s="704" t="str">
        <f t="shared" si="334"/>
        <v/>
      </c>
      <c r="GT67" s="701">
        <f t="shared" si="335"/>
        <v>1</v>
      </c>
      <c r="GU67" s="128">
        <f t="shared" si="336"/>
        <v>0</v>
      </c>
      <c r="GV67" s="701" t="str">
        <f t="shared" si="428"/>
        <v/>
      </c>
      <c r="GW67" s="704" t="str">
        <f t="shared" si="337"/>
        <v/>
      </c>
      <c r="GX67" s="701">
        <f t="shared" si="338"/>
        <v>1</v>
      </c>
      <c r="GY67" s="128">
        <f t="shared" si="339"/>
        <v>0</v>
      </c>
      <c r="GZ67" s="701" t="str">
        <f t="shared" si="429"/>
        <v/>
      </c>
      <c r="HA67" s="704" t="str">
        <f t="shared" si="340"/>
        <v/>
      </c>
      <c r="HB67" s="701">
        <f t="shared" si="341"/>
        <v>1</v>
      </c>
      <c r="HC67" s="128">
        <f t="shared" si="342"/>
        <v>0</v>
      </c>
      <c r="HD67" s="701" t="str">
        <f t="shared" si="430"/>
        <v/>
      </c>
      <c r="HE67" s="704" t="str">
        <f t="shared" si="343"/>
        <v/>
      </c>
      <c r="HF67" s="701">
        <f t="shared" si="344"/>
        <v>1</v>
      </c>
      <c r="HG67" s="128">
        <f t="shared" si="345"/>
        <v>0</v>
      </c>
      <c r="HH67" s="701" t="str">
        <f t="shared" si="431"/>
        <v/>
      </c>
      <c r="HI67" s="704" t="str">
        <f t="shared" si="346"/>
        <v/>
      </c>
      <c r="HJ67" s="701">
        <f t="shared" si="347"/>
        <v>1</v>
      </c>
      <c r="HK67" s="128">
        <f t="shared" si="348"/>
        <v>0</v>
      </c>
      <c r="HL67" s="701" t="str">
        <f t="shared" si="432"/>
        <v/>
      </c>
      <c r="HM67" s="704" t="str">
        <f t="shared" si="349"/>
        <v/>
      </c>
      <c r="HN67" s="701">
        <f t="shared" si="350"/>
        <v>1</v>
      </c>
      <c r="HO67" s="128">
        <f t="shared" si="351"/>
        <v>0</v>
      </c>
      <c r="HP67" s="701" t="str">
        <f t="shared" si="433"/>
        <v/>
      </c>
      <c r="HQ67" s="704" t="str">
        <f t="shared" si="352"/>
        <v/>
      </c>
      <c r="HR67" s="701">
        <f t="shared" si="353"/>
        <v>1</v>
      </c>
      <c r="HS67" s="128">
        <f t="shared" si="354"/>
        <v>0</v>
      </c>
      <c r="HT67" s="701" t="str">
        <f t="shared" si="434"/>
        <v/>
      </c>
      <c r="HU67" s="704" t="str">
        <f t="shared" si="355"/>
        <v/>
      </c>
      <c r="HV67" s="701">
        <f t="shared" si="356"/>
        <v>1</v>
      </c>
      <c r="HW67" s="128">
        <f t="shared" si="357"/>
        <v>0</v>
      </c>
      <c r="HX67" s="701" t="str">
        <f t="shared" si="435"/>
        <v/>
      </c>
      <c r="HY67" s="704" t="str">
        <f t="shared" si="358"/>
        <v/>
      </c>
      <c r="HZ67" s="701">
        <f t="shared" si="359"/>
        <v>1</v>
      </c>
      <c r="IA67" s="128">
        <f t="shared" si="360"/>
        <v>0</v>
      </c>
      <c r="IB67" s="701" t="str">
        <f t="shared" si="436"/>
        <v/>
      </c>
      <c r="IC67" s="704" t="str">
        <f t="shared" si="361"/>
        <v/>
      </c>
      <c r="ID67" s="701">
        <f t="shared" si="362"/>
        <v>1</v>
      </c>
      <c r="IE67" s="128">
        <f t="shared" si="363"/>
        <v>0</v>
      </c>
      <c r="IF67" s="701" t="str">
        <f t="shared" si="437"/>
        <v/>
      </c>
      <c r="IG67" s="704" t="str">
        <f t="shared" si="364"/>
        <v/>
      </c>
      <c r="IH67" s="701">
        <f t="shared" si="365"/>
        <v>1</v>
      </c>
      <c r="II67" s="128">
        <f t="shared" si="366"/>
        <v>0</v>
      </c>
      <c r="IJ67" s="701" t="str">
        <f t="shared" si="438"/>
        <v/>
      </c>
      <c r="IK67" s="704" t="str">
        <f t="shared" si="367"/>
        <v/>
      </c>
      <c r="IL67" s="701">
        <f t="shared" si="368"/>
        <v>1</v>
      </c>
      <c r="IM67" s="128">
        <f t="shared" si="369"/>
        <v>0</v>
      </c>
      <c r="IN67" s="701" t="str">
        <f t="shared" si="439"/>
        <v/>
      </c>
      <c r="IO67" s="704" t="str">
        <f t="shared" si="370"/>
        <v/>
      </c>
      <c r="IP67" s="701">
        <f t="shared" si="371"/>
        <v>1</v>
      </c>
      <c r="IQ67" s="128">
        <f t="shared" si="372"/>
        <v>0</v>
      </c>
      <c r="IR67" s="701" t="str">
        <f t="shared" si="440"/>
        <v/>
      </c>
      <c r="IS67" s="704" t="str">
        <f t="shared" si="373"/>
        <v/>
      </c>
      <c r="IT67" s="701">
        <f t="shared" si="374"/>
        <v>1</v>
      </c>
      <c r="IU67" s="128">
        <f t="shared" si="375"/>
        <v>0</v>
      </c>
      <c r="IV67" s="701" t="str">
        <f t="shared" si="441"/>
        <v/>
      </c>
      <c r="IW67" s="704" t="str">
        <f t="shared" si="376"/>
        <v/>
      </c>
      <c r="IX67" s="701">
        <f t="shared" si="377"/>
        <v>1</v>
      </c>
      <c r="IY67" s="128">
        <f t="shared" si="378"/>
        <v>0</v>
      </c>
    </row>
    <row r="68" spans="3:259" s="2" customFormat="1" ht="13.3" thickTop="1" thickBot="1" x14ac:dyDescent="0.35">
      <c r="D68" s="1"/>
      <c r="E68" s="1"/>
      <c r="F68" s="1"/>
      <c r="G68" s="1"/>
      <c r="H68" s="1"/>
      <c r="J68" s="1"/>
      <c r="N68" s="769"/>
      <c r="O68" s="769"/>
      <c r="P68" s="769"/>
      <c r="Q68" s="769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T68" s="87" t="str">
        <f t="shared" si="443"/>
        <v/>
      </c>
      <c r="AU68" s="78" t="str">
        <f t="shared" si="445"/>
        <v/>
      </c>
      <c r="AV68" s="78" t="str">
        <f>IF($F39="","",IF($F39=$F$37,$AW$37,IF($F39=$F$38,$AW$38,IF($F39=$F$40,$AW$40,IF($F39=$F$41,$AW$41,IF($F39=$F$42,$AW$42,IF($F39=$F$43,$AW$43,IF($F39=$F$44,$AW$44,""))))))))</f>
        <v/>
      </c>
      <c r="AW68" s="78" t="str">
        <f t="shared" si="251"/>
        <v/>
      </c>
      <c r="AX68" s="239">
        <f t="shared" si="252"/>
        <v>0</v>
      </c>
      <c r="AY68" s="239" t="str">
        <f t="shared" si="253"/>
        <v/>
      </c>
      <c r="AZ68" s="214" t="str">
        <f t="shared" si="254"/>
        <v/>
      </c>
      <c r="BA68" s="214" t="str">
        <f t="shared" si="255"/>
        <v/>
      </c>
      <c r="BB68" s="214" t="str">
        <f t="shared" si="256"/>
        <v/>
      </c>
      <c r="BC68" s="214" t="str">
        <f t="shared" si="257"/>
        <v/>
      </c>
      <c r="BD68" s="1322">
        <f t="shared" si="379"/>
        <v>15</v>
      </c>
      <c r="BE68" s="1"/>
      <c r="BF68" s="214" t="str">
        <f t="shared" si="258"/>
        <v/>
      </c>
      <c r="BG68" s="94">
        <f t="shared" si="259"/>
        <v>0</v>
      </c>
      <c r="BH68" s="94">
        <f t="shared" si="260"/>
        <v>0</v>
      </c>
      <c r="BI68" s="94">
        <f t="shared" si="261"/>
        <v>0</v>
      </c>
      <c r="BJ68" s="237">
        <f t="shared" si="380"/>
        <v>0</v>
      </c>
      <c r="BK68" s="237">
        <f t="shared" si="262"/>
        <v>0</v>
      </c>
      <c r="BL68" s="237">
        <f t="shared" si="263"/>
        <v>0</v>
      </c>
      <c r="BM68" s="237">
        <f t="shared" si="264"/>
        <v>0</v>
      </c>
      <c r="BN68" s="237">
        <f t="shared" si="265"/>
        <v>0</v>
      </c>
      <c r="BO68" s="237">
        <f t="shared" si="266"/>
        <v>0</v>
      </c>
      <c r="BP68" s="237">
        <f t="shared" si="267"/>
        <v>0</v>
      </c>
      <c r="BQ68" s="237">
        <f t="shared" si="268"/>
        <v>0</v>
      </c>
      <c r="BR68" s="237">
        <f t="shared" si="269"/>
        <v>0</v>
      </c>
      <c r="BS68" s="237">
        <f t="shared" si="270"/>
        <v>0</v>
      </c>
      <c r="BT68" s="237">
        <f t="shared" si="381"/>
        <v>0</v>
      </c>
      <c r="BU68" s="237">
        <f t="shared" si="382"/>
        <v>0</v>
      </c>
      <c r="BV68" s="237">
        <f t="shared" si="383"/>
        <v>0</v>
      </c>
      <c r="BW68" s="237">
        <f t="shared" si="384"/>
        <v>0</v>
      </c>
      <c r="BX68" s="237">
        <f t="shared" si="385"/>
        <v>0</v>
      </c>
      <c r="BY68" s="237">
        <f t="shared" si="386"/>
        <v>0</v>
      </c>
      <c r="BZ68" s="237">
        <f t="shared" si="387"/>
        <v>0</v>
      </c>
      <c r="CA68" s="237">
        <f t="shared" si="388"/>
        <v>0</v>
      </c>
      <c r="CB68" s="237">
        <f t="shared" si="389"/>
        <v>0</v>
      </c>
      <c r="CC68" s="237">
        <f t="shared" si="390"/>
        <v>0</v>
      </c>
      <c r="CD68" s="237">
        <f t="shared" si="391"/>
        <v>0</v>
      </c>
      <c r="CE68" s="237">
        <f t="shared" si="392"/>
        <v>0</v>
      </c>
      <c r="CF68" s="237">
        <f t="shared" si="393"/>
        <v>0</v>
      </c>
      <c r="CG68" s="237">
        <f t="shared" si="394"/>
        <v>0</v>
      </c>
      <c r="CH68" s="237">
        <f t="shared" si="395"/>
        <v>0</v>
      </c>
      <c r="CI68" s="3"/>
      <c r="CJ68" s="3"/>
      <c r="CK68" s="1"/>
      <c r="CL68" s="1"/>
      <c r="CM68" s="1"/>
      <c r="CN68" s="1"/>
      <c r="CO68" s="1"/>
      <c r="CP68" s="1"/>
      <c r="CQ68" s="1"/>
      <c r="CR68" s="524">
        <f t="shared" si="396"/>
        <v>0</v>
      </c>
      <c r="CT68" s="495" t="str">
        <f t="shared" si="397"/>
        <v/>
      </c>
      <c r="CU68" s="496" t="str">
        <f t="shared" si="398"/>
        <v/>
      </c>
      <c r="CV68" s="496" t="str">
        <f t="shared" si="399"/>
        <v/>
      </c>
      <c r="CW68" s="1"/>
      <c r="CX68" s="1026" t="str">
        <f t="shared" si="271"/>
        <v/>
      </c>
      <c r="CY68" s="1026" t="str">
        <f t="shared" si="272"/>
        <v/>
      </c>
      <c r="CZ68" s="1473" t="str">
        <f t="shared" si="273"/>
        <v/>
      </c>
      <c r="DA68" s="1473" t="str">
        <f t="shared" si="274"/>
        <v/>
      </c>
      <c r="DB68" s="1474" t="str">
        <f t="shared" si="275"/>
        <v/>
      </c>
      <c r="DC68" s="1474" t="str">
        <f t="shared" si="276"/>
        <v/>
      </c>
      <c r="DD68" s="1473" t="str">
        <f t="shared" si="400"/>
        <v/>
      </c>
      <c r="DE68" s="1473" t="str">
        <f t="shared" si="401"/>
        <v/>
      </c>
      <c r="DF68" s="1476" t="str">
        <f t="shared" si="277"/>
        <v/>
      </c>
      <c r="DG68" s="1476" t="str">
        <f t="shared" si="278"/>
        <v/>
      </c>
      <c r="DJ68" s="93" t="str">
        <f t="shared" si="402"/>
        <v/>
      </c>
      <c r="DK68" s="93" t="str">
        <f t="shared" si="403"/>
        <v/>
      </c>
      <c r="DL68" s="93">
        <f t="shared" si="404"/>
        <v>0</v>
      </c>
      <c r="DM68" s="93" t="str">
        <f t="shared" si="279"/>
        <v/>
      </c>
      <c r="DN68" s="33">
        <v>15</v>
      </c>
      <c r="DO68" s="93" t="str">
        <f t="shared" si="280"/>
        <v/>
      </c>
      <c r="DP68" s="1"/>
      <c r="DQ68" s="33">
        <v>15</v>
      </c>
      <c r="DR68" s="1486" t="str">
        <f t="shared" si="405"/>
        <v/>
      </c>
      <c r="DS68" s="144" t="str">
        <f t="shared" si="281"/>
        <v/>
      </c>
      <c r="DT68" s="144" t="str">
        <f t="shared" si="282"/>
        <v/>
      </c>
      <c r="DU68" s="144" t="str">
        <f t="shared" si="283"/>
        <v/>
      </c>
      <c r="DV68" s="144" t="str">
        <f t="shared" si="284"/>
        <v/>
      </c>
      <c r="DW68" s="144" t="str">
        <f t="shared" si="285"/>
        <v/>
      </c>
      <c r="DX68" s="144" t="str">
        <f t="shared" si="286"/>
        <v/>
      </c>
      <c r="DY68" s="144" t="str">
        <f t="shared" si="287"/>
        <v/>
      </c>
      <c r="DZ68" s="144" t="str">
        <f t="shared" si="288"/>
        <v/>
      </c>
      <c r="EA68" s="144" t="str">
        <f t="shared" si="289"/>
        <v/>
      </c>
      <c r="EB68" s="144" t="str">
        <f t="shared" si="290"/>
        <v/>
      </c>
      <c r="EC68" s="144" t="str">
        <f t="shared" si="291"/>
        <v/>
      </c>
      <c r="ED68" s="144" t="str">
        <f t="shared" si="292"/>
        <v/>
      </c>
      <c r="EE68" s="144" t="str">
        <f t="shared" si="293"/>
        <v/>
      </c>
      <c r="EF68" s="144" t="str">
        <f t="shared" si="294"/>
        <v/>
      </c>
      <c r="EG68" s="144" t="str">
        <f t="shared" si="295"/>
        <v/>
      </c>
      <c r="EH68" s="144" t="str">
        <f t="shared" si="296"/>
        <v/>
      </c>
      <c r="EI68" s="144" t="str">
        <f t="shared" si="297"/>
        <v/>
      </c>
      <c r="EJ68" s="144" t="str">
        <f t="shared" si="298"/>
        <v/>
      </c>
      <c r="EK68" s="144" t="str">
        <f t="shared" si="299"/>
        <v/>
      </c>
      <c r="EL68" s="144" t="str">
        <f t="shared" si="300"/>
        <v/>
      </c>
      <c r="EM68" s="144" t="str">
        <f t="shared" si="301"/>
        <v/>
      </c>
      <c r="EN68" s="720" t="str">
        <f t="shared" si="302"/>
        <v/>
      </c>
      <c r="EO68" s="720" t="str">
        <f t="shared" si="303"/>
        <v/>
      </c>
      <c r="EP68" s="720" t="str">
        <f t="shared" si="304"/>
        <v/>
      </c>
      <c r="EQ68" s="720" t="str">
        <f t="shared" si="305"/>
        <v/>
      </c>
      <c r="ER68" s="720" t="str">
        <f t="shared" si="306"/>
        <v/>
      </c>
      <c r="ES68" s="1460">
        <f t="shared" si="406"/>
        <v>0</v>
      </c>
      <c r="ET68" s="201">
        <f t="shared" si="407"/>
        <v>26</v>
      </c>
      <c r="EU68" s="137" t="str">
        <f t="shared" si="408"/>
        <v/>
      </c>
      <c r="EV68" s="290" t="str">
        <f t="shared" si="307"/>
        <v/>
      </c>
      <c r="EW68" s="290" t="str">
        <f t="shared" si="308"/>
        <v/>
      </c>
      <c r="EX68" s="725" t="str">
        <f t="shared" si="309"/>
        <v/>
      </c>
      <c r="EY68" s="1322">
        <f t="shared" si="310"/>
        <v>0</v>
      </c>
      <c r="EZ68" s="201">
        <f t="shared" si="409"/>
        <v>25</v>
      </c>
      <c r="FA68" s="1467" t="str">
        <f t="shared" si="410"/>
        <v/>
      </c>
      <c r="FB68" s="216" t="str">
        <f t="shared" si="411"/>
        <v/>
      </c>
      <c r="FC68" s="795" t="str" cm="1">
        <f t="array" ref="FC68">IF($FB68="","",INDEX($H$25:$H$49,$DN39))</f>
        <v/>
      </c>
      <c r="FD68" s="234" t="str">
        <f t="shared" si="412"/>
        <v/>
      </c>
      <c r="FE68" s="90">
        <f t="shared" si="311"/>
        <v>0</v>
      </c>
      <c r="FF68" s="711" t="str">
        <f t="shared" si="413"/>
        <v/>
      </c>
      <c r="FG68" s="712" t="str">
        <f t="shared" si="413"/>
        <v/>
      </c>
      <c r="FH68" s="701" t="str">
        <f t="shared" si="444"/>
        <v/>
      </c>
      <c r="FI68" s="704" t="str">
        <f t="shared" si="312"/>
        <v/>
      </c>
      <c r="FJ68" s="701">
        <f t="shared" si="313"/>
        <v>1</v>
      </c>
      <c r="FK68" s="128">
        <f t="shared" si="414"/>
        <v>0</v>
      </c>
      <c r="FL68" s="701" t="str">
        <f t="shared" si="415"/>
        <v/>
      </c>
      <c r="FM68" s="704" t="str">
        <f t="shared" si="314"/>
        <v/>
      </c>
      <c r="FN68" s="701">
        <f t="shared" si="315"/>
        <v>1</v>
      </c>
      <c r="FO68" s="128">
        <f t="shared" si="316"/>
        <v>0</v>
      </c>
      <c r="FP68" s="701" t="str">
        <f t="shared" si="416"/>
        <v/>
      </c>
      <c r="FQ68" s="704" t="str">
        <f t="shared" si="317"/>
        <v/>
      </c>
      <c r="FR68" s="701">
        <f t="shared" si="417"/>
        <v>1</v>
      </c>
      <c r="FS68" s="128">
        <f t="shared" si="318"/>
        <v>0</v>
      </c>
      <c r="FT68" s="701" t="str">
        <f t="shared" si="418"/>
        <v/>
      </c>
      <c r="FU68" s="704" t="str">
        <f t="shared" si="319"/>
        <v/>
      </c>
      <c r="FV68" s="701">
        <f t="shared" si="419"/>
        <v>1</v>
      </c>
      <c r="FW68" s="128">
        <f t="shared" si="320"/>
        <v>0</v>
      </c>
      <c r="FX68" s="701" t="str">
        <f t="shared" si="420"/>
        <v/>
      </c>
      <c r="FY68" s="704" t="str">
        <f t="shared" si="321"/>
        <v/>
      </c>
      <c r="FZ68" s="701">
        <f t="shared" si="421"/>
        <v>1</v>
      </c>
      <c r="GA68" s="128">
        <f t="shared" si="322"/>
        <v>0</v>
      </c>
      <c r="GB68" s="701" t="str">
        <f t="shared" si="422"/>
        <v/>
      </c>
      <c r="GC68" s="704" t="str">
        <f t="shared" si="323"/>
        <v/>
      </c>
      <c r="GD68" s="701">
        <f t="shared" si="423"/>
        <v>1</v>
      </c>
      <c r="GE68" s="128">
        <f t="shared" si="324"/>
        <v>0</v>
      </c>
      <c r="GF68" s="701" t="str">
        <f t="shared" si="424"/>
        <v/>
      </c>
      <c r="GG68" s="704" t="str">
        <f t="shared" si="325"/>
        <v/>
      </c>
      <c r="GH68" s="701">
        <f t="shared" si="326"/>
        <v>1</v>
      </c>
      <c r="GI68" s="128">
        <f t="shared" si="327"/>
        <v>0</v>
      </c>
      <c r="GJ68" s="701" t="str">
        <f t="shared" si="425"/>
        <v/>
      </c>
      <c r="GK68" s="704" t="str">
        <f t="shared" si="328"/>
        <v/>
      </c>
      <c r="GL68" s="701">
        <f t="shared" si="329"/>
        <v>1</v>
      </c>
      <c r="GM68" s="128">
        <f t="shared" si="330"/>
        <v>0</v>
      </c>
      <c r="GN68" s="701" t="str">
        <f t="shared" si="426"/>
        <v/>
      </c>
      <c r="GO68" s="704" t="str">
        <f t="shared" si="331"/>
        <v/>
      </c>
      <c r="GP68" s="701">
        <f t="shared" si="332"/>
        <v>1</v>
      </c>
      <c r="GQ68" s="128">
        <f t="shared" si="333"/>
        <v>0</v>
      </c>
      <c r="GR68" s="701" t="str">
        <f t="shared" si="427"/>
        <v/>
      </c>
      <c r="GS68" s="704" t="str">
        <f t="shared" si="334"/>
        <v/>
      </c>
      <c r="GT68" s="701">
        <f t="shared" si="335"/>
        <v>1</v>
      </c>
      <c r="GU68" s="128">
        <f t="shared" si="336"/>
        <v>0</v>
      </c>
      <c r="GV68" s="701" t="str">
        <f t="shared" si="428"/>
        <v/>
      </c>
      <c r="GW68" s="704" t="str">
        <f t="shared" si="337"/>
        <v/>
      </c>
      <c r="GX68" s="701">
        <f t="shared" si="338"/>
        <v>1</v>
      </c>
      <c r="GY68" s="128">
        <f t="shared" si="339"/>
        <v>0</v>
      </c>
      <c r="GZ68" s="701" t="str">
        <f t="shared" si="429"/>
        <v/>
      </c>
      <c r="HA68" s="704" t="str">
        <f t="shared" si="340"/>
        <v/>
      </c>
      <c r="HB68" s="701">
        <f t="shared" si="341"/>
        <v>1</v>
      </c>
      <c r="HC68" s="128">
        <f t="shared" si="342"/>
        <v>0</v>
      </c>
      <c r="HD68" s="701" t="str">
        <f t="shared" si="430"/>
        <v/>
      </c>
      <c r="HE68" s="704" t="str">
        <f t="shared" si="343"/>
        <v/>
      </c>
      <c r="HF68" s="701">
        <f t="shared" si="344"/>
        <v>1</v>
      </c>
      <c r="HG68" s="128">
        <f t="shared" si="345"/>
        <v>0</v>
      </c>
      <c r="HH68" s="701" t="str">
        <f t="shared" si="431"/>
        <v/>
      </c>
      <c r="HI68" s="704" t="str">
        <f t="shared" si="346"/>
        <v/>
      </c>
      <c r="HJ68" s="701">
        <f t="shared" si="347"/>
        <v>1</v>
      </c>
      <c r="HK68" s="128">
        <f t="shared" si="348"/>
        <v>0</v>
      </c>
      <c r="HL68" s="701" t="str">
        <f t="shared" si="432"/>
        <v/>
      </c>
      <c r="HM68" s="704" t="str">
        <f t="shared" si="349"/>
        <v/>
      </c>
      <c r="HN68" s="701">
        <f t="shared" si="350"/>
        <v>1</v>
      </c>
      <c r="HO68" s="128">
        <f t="shared" si="351"/>
        <v>0</v>
      </c>
      <c r="HP68" s="701" t="str">
        <f t="shared" si="433"/>
        <v/>
      </c>
      <c r="HQ68" s="704" t="str">
        <f t="shared" si="352"/>
        <v/>
      </c>
      <c r="HR68" s="701">
        <f t="shared" si="353"/>
        <v>1</v>
      </c>
      <c r="HS68" s="128">
        <f t="shared" si="354"/>
        <v>0</v>
      </c>
      <c r="HT68" s="701" t="str">
        <f t="shared" si="434"/>
        <v/>
      </c>
      <c r="HU68" s="704" t="str">
        <f t="shared" si="355"/>
        <v/>
      </c>
      <c r="HV68" s="701">
        <f t="shared" si="356"/>
        <v>1</v>
      </c>
      <c r="HW68" s="128">
        <f t="shared" si="357"/>
        <v>0</v>
      </c>
      <c r="HX68" s="701" t="str">
        <f t="shared" si="435"/>
        <v/>
      </c>
      <c r="HY68" s="704" t="str">
        <f t="shared" si="358"/>
        <v/>
      </c>
      <c r="HZ68" s="701">
        <f t="shared" si="359"/>
        <v>1</v>
      </c>
      <c r="IA68" s="128">
        <f t="shared" si="360"/>
        <v>0</v>
      </c>
      <c r="IB68" s="701" t="str">
        <f t="shared" si="436"/>
        <v/>
      </c>
      <c r="IC68" s="704" t="str">
        <f t="shared" si="361"/>
        <v/>
      </c>
      <c r="ID68" s="701">
        <f t="shared" si="362"/>
        <v>1</v>
      </c>
      <c r="IE68" s="128">
        <f t="shared" si="363"/>
        <v>0</v>
      </c>
      <c r="IF68" s="701" t="str">
        <f t="shared" si="437"/>
        <v/>
      </c>
      <c r="IG68" s="704" t="str">
        <f t="shared" si="364"/>
        <v/>
      </c>
      <c r="IH68" s="701">
        <f t="shared" si="365"/>
        <v>1</v>
      </c>
      <c r="II68" s="128">
        <f t="shared" si="366"/>
        <v>0</v>
      </c>
      <c r="IJ68" s="701" t="str">
        <f t="shared" si="438"/>
        <v/>
      </c>
      <c r="IK68" s="704" t="str">
        <f t="shared" si="367"/>
        <v/>
      </c>
      <c r="IL68" s="701">
        <f t="shared" si="368"/>
        <v>1</v>
      </c>
      <c r="IM68" s="128">
        <f t="shared" si="369"/>
        <v>0</v>
      </c>
      <c r="IN68" s="701" t="str">
        <f t="shared" si="439"/>
        <v/>
      </c>
      <c r="IO68" s="704" t="str">
        <f t="shared" si="370"/>
        <v/>
      </c>
      <c r="IP68" s="701">
        <f t="shared" si="371"/>
        <v>1</v>
      </c>
      <c r="IQ68" s="128">
        <f t="shared" si="372"/>
        <v>0</v>
      </c>
      <c r="IR68" s="701" t="str">
        <f t="shared" si="440"/>
        <v/>
      </c>
      <c r="IS68" s="704" t="str">
        <f t="shared" si="373"/>
        <v/>
      </c>
      <c r="IT68" s="701">
        <f t="shared" si="374"/>
        <v>1</v>
      </c>
      <c r="IU68" s="128">
        <f t="shared" si="375"/>
        <v>0</v>
      </c>
      <c r="IV68" s="701" t="str">
        <f t="shared" si="441"/>
        <v/>
      </c>
      <c r="IW68" s="704" t="str">
        <f t="shared" si="376"/>
        <v/>
      </c>
      <c r="IX68" s="701">
        <f t="shared" si="377"/>
        <v>1</v>
      </c>
      <c r="IY68" s="128">
        <f t="shared" si="378"/>
        <v>0</v>
      </c>
    </row>
    <row r="69" spans="3:259" s="2" customFormat="1" ht="13.3" thickTop="1" thickBot="1" x14ac:dyDescent="0.35">
      <c r="D69" s="1"/>
      <c r="E69" s="1"/>
      <c r="F69" s="1"/>
      <c r="G69" s="1"/>
      <c r="H69" s="1"/>
      <c r="J69" s="1"/>
      <c r="N69" s="769"/>
      <c r="O69" s="769"/>
      <c r="P69" s="769"/>
      <c r="Q69" s="769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T69" s="87" t="str">
        <f t="shared" si="443"/>
        <v/>
      </c>
      <c r="AU69" s="78" t="str">
        <f t="shared" si="445"/>
        <v/>
      </c>
      <c r="AV69" s="78" t="str">
        <f>IF($F40="","",IF($F40=$F$37,$AW$37,IF($F40=$F$38,$AW$38,IF($F40=$F$39,$AW$39,IF($F40=$F$41,$AW$41,IF($F40=$F$42,$AW$42,IF($F40=$F$43,$AW$43,IF($F40=$F$44,$AW$44,""))))))))</f>
        <v/>
      </c>
      <c r="AW69" s="78" t="str">
        <f t="shared" si="251"/>
        <v/>
      </c>
      <c r="AX69" s="239">
        <f t="shared" si="252"/>
        <v>0</v>
      </c>
      <c r="AY69" s="239" t="str">
        <f t="shared" si="253"/>
        <v/>
      </c>
      <c r="AZ69" s="214" t="str">
        <f t="shared" si="254"/>
        <v/>
      </c>
      <c r="BA69" s="214" t="str">
        <f t="shared" si="255"/>
        <v/>
      </c>
      <c r="BB69" s="214" t="str">
        <f t="shared" si="256"/>
        <v/>
      </c>
      <c r="BC69" s="214" t="str">
        <f t="shared" si="257"/>
        <v/>
      </c>
      <c r="BD69" s="1322">
        <f t="shared" si="379"/>
        <v>16</v>
      </c>
      <c r="BE69" s="1"/>
      <c r="BF69" s="214" t="str">
        <f t="shared" si="258"/>
        <v/>
      </c>
      <c r="BG69" s="94">
        <f t="shared" si="259"/>
        <v>0</v>
      </c>
      <c r="BH69" s="94">
        <f t="shared" si="260"/>
        <v>0</v>
      </c>
      <c r="BI69" s="94">
        <f t="shared" si="261"/>
        <v>0</v>
      </c>
      <c r="BJ69" s="237">
        <f t="shared" si="380"/>
        <v>0</v>
      </c>
      <c r="BK69" s="237">
        <f t="shared" si="262"/>
        <v>0</v>
      </c>
      <c r="BL69" s="237">
        <f t="shared" si="263"/>
        <v>0</v>
      </c>
      <c r="BM69" s="237">
        <f t="shared" si="264"/>
        <v>0</v>
      </c>
      <c r="BN69" s="237">
        <f t="shared" si="265"/>
        <v>0</v>
      </c>
      <c r="BO69" s="237">
        <f t="shared" si="266"/>
        <v>0</v>
      </c>
      <c r="BP69" s="237">
        <f t="shared" si="267"/>
        <v>0</v>
      </c>
      <c r="BQ69" s="237">
        <f t="shared" si="268"/>
        <v>0</v>
      </c>
      <c r="BR69" s="237">
        <f t="shared" si="269"/>
        <v>0</v>
      </c>
      <c r="BS69" s="237">
        <f t="shared" si="270"/>
        <v>0</v>
      </c>
      <c r="BT69" s="237">
        <f t="shared" si="381"/>
        <v>0</v>
      </c>
      <c r="BU69" s="237">
        <f t="shared" si="382"/>
        <v>0</v>
      </c>
      <c r="BV69" s="237">
        <f t="shared" si="383"/>
        <v>0</v>
      </c>
      <c r="BW69" s="237">
        <f t="shared" si="384"/>
        <v>0</v>
      </c>
      <c r="BX69" s="237">
        <f t="shared" si="385"/>
        <v>0</v>
      </c>
      <c r="BY69" s="237">
        <f t="shared" si="386"/>
        <v>0</v>
      </c>
      <c r="BZ69" s="237">
        <f t="shared" si="387"/>
        <v>0</v>
      </c>
      <c r="CA69" s="237">
        <f t="shared" si="388"/>
        <v>0</v>
      </c>
      <c r="CB69" s="237">
        <f t="shared" si="389"/>
        <v>0</v>
      </c>
      <c r="CC69" s="237">
        <f t="shared" si="390"/>
        <v>0</v>
      </c>
      <c r="CD69" s="237">
        <f t="shared" si="391"/>
        <v>0</v>
      </c>
      <c r="CE69" s="237">
        <f t="shared" si="392"/>
        <v>0</v>
      </c>
      <c r="CF69" s="237">
        <f t="shared" si="393"/>
        <v>0</v>
      </c>
      <c r="CG69" s="237">
        <f t="shared" si="394"/>
        <v>0</v>
      </c>
      <c r="CH69" s="237">
        <f t="shared" si="395"/>
        <v>0</v>
      </c>
      <c r="CI69" s="3"/>
      <c r="CJ69" s="3"/>
      <c r="CK69" s="1"/>
      <c r="CL69" s="1"/>
      <c r="CM69" s="1"/>
      <c r="CN69" s="1"/>
      <c r="CO69" s="1"/>
      <c r="CP69" s="1"/>
      <c r="CQ69" s="1"/>
      <c r="CR69" s="524">
        <f t="shared" si="396"/>
        <v>0</v>
      </c>
      <c r="CS69" s="1"/>
      <c r="CT69" s="495" t="str">
        <f t="shared" si="397"/>
        <v/>
      </c>
      <c r="CU69" s="496" t="str">
        <f t="shared" si="398"/>
        <v/>
      </c>
      <c r="CV69" s="496" t="str">
        <f t="shared" si="399"/>
        <v/>
      </c>
      <c r="CW69" s="1"/>
      <c r="CX69" s="1026" t="str">
        <f t="shared" si="271"/>
        <v/>
      </c>
      <c r="CY69" s="1026" t="str">
        <f t="shared" si="272"/>
        <v/>
      </c>
      <c r="CZ69" s="1473" t="str">
        <f t="shared" si="273"/>
        <v/>
      </c>
      <c r="DA69" s="1473" t="str">
        <f t="shared" si="274"/>
        <v/>
      </c>
      <c r="DB69" s="1474" t="str">
        <f t="shared" si="275"/>
        <v/>
      </c>
      <c r="DC69" s="1474" t="str">
        <f t="shared" si="276"/>
        <v/>
      </c>
      <c r="DD69" s="1473" t="str">
        <f t="shared" si="400"/>
        <v/>
      </c>
      <c r="DE69" s="1473" t="str">
        <f t="shared" si="401"/>
        <v/>
      </c>
      <c r="DF69" s="1476" t="str">
        <f t="shared" si="277"/>
        <v/>
      </c>
      <c r="DG69" s="1476" t="str">
        <f t="shared" si="278"/>
        <v/>
      </c>
      <c r="DJ69" s="93" t="str">
        <f t="shared" si="402"/>
        <v/>
      </c>
      <c r="DK69" s="93" t="str">
        <f t="shared" si="403"/>
        <v/>
      </c>
      <c r="DL69" s="93">
        <f t="shared" si="404"/>
        <v>0</v>
      </c>
      <c r="DM69" s="93" t="str">
        <f t="shared" si="279"/>
        <v/>
      </c>
      <c r="DN69" s="33">
        <v>16</v>
      </c>
      <c r="DO69" s="93" t="str">
        <f t="shared" si="280"/>
        <v/>
      </c>
      <c r="DP69" s="1"/>
      <c r="DQ69" s="33">
        <v>16</v>
      </c>
      <c r="DR69" s="1486" t="str">
        <f t="shared" si="405"/>
        <v/>
      </c>
      <c r="DS69" s="144" t="str">
        <f t="shared" si="281"/>
        <v/>
      </c>
      <c r="DT69" s="144" t="str">
        <f t="shared" si="282"/>
        <v/>
      </c>
      <c r="DU69" s="144" t="str">
        <f t="shared" si="283"/>
        <v/>
      </c>
      <c r="DV69" s="144" t="str">
        <f t="shared" si="284"/>
        <v/>
      </c>
      <c r="DW69" s="144" t="str">
        <f t="shared" si="285"/>
        <v/>
      </c>
      <c r="DX69" s="144" t="str">
        <f t="shared" si="286"/>
        <v/>
      </c>
      <c r="DY69" s="144" t="str">
        <f t="shared" si="287"/>
        <v/>
      </c>
      <c r="DZ69" s="144" t="str">
        <f t="shared" si="288"/>
        <v/>
      </c>
      <c r="EA69" s="144" t="str">
        <f t="shared" si="289"/>
        <v/>
      </c>
      <c r="EB69" s="144" t="str">
        <f t="shared" si="290"/>
        <v/>
      </c>
      <c r="EC69" s="144" t="str">
        <f t="shared" si="291"/>
        <v/>
      </c>
      <c r="ED69" s="144" t="str">
        <f t="shared" si="292"/>
        <v/>
      </c>
      <c r="EE69" s="144" t="str">
        <f t="shared" si="293"/>
        <v/>
      </c>
      <c r="EF69" s="144" t="str">
        <f t="shared" si="294"/>
        <v/>
      </c>
      <c r="EG69" s="144" t="str">
        <f t="shared" si="295"/>
        <v/>
      </c>
      <c r="EH69" s="144" t="str">
        <f t="shared" si="296"/>
        <v/>
      </c>
      <c r="EI69" s="144" t="str">
        <f t="shared" si="297"/>
        <v/>
      </c>
      <c r="EJ69" s="144" t="str">
        <f t="shared" si="298"/>
        <v/>
      </c>
      <c r="EK69" s="144" t="str">
        <f t="shared" si="299"/>
        <v/>
      </c>
      <c r="EL69" s="144" t="str">
        <f t="shared" si="300"/>
        <v/>
      </c>
      <c r="EM69" s="144" t="str">
        <f t="shared" si="301"/>
        <v/>
      </c>
      <c r="EN69" s="720" t="str">
        <f t="shared" si="302"/>
        <v/>
      </c>
      <c r="EO69" s="720" t="str">
        <f t="shared" si="303"/>
        <v/>
      </c>
      <c r="EP69" s="720" t="str">
        <f t="shared" si="304"/>
        <v/>
      </c>
      <c r="EQ69" s="720" t="str">
        <f t="shared" si="305"/>
        <v/>
      </c>
      <c r="ER69" s="720" t="str">
        <f t="shared" si="306"/>
        <v/>
      </c>
      <c r="ES69" s="1460">
        <f t="shared" si="406"/>
        <v>0</v>
      </c>
      <c r="ET69" s="201">
        <f t="shared" si="407"/>
        <v>26</v>
      </c>
      <c r="EU69" s="137" t="str">
        <f t="shared" si="408"/>
        <v/>
      </c>
      <c r="EV69" s="290" t="str">
        <f t="shared" si="307"/>
        <v/>
      </c>
      <c r="EW69" s="290" t="str">
        <f t="shared" si="308"/>
        <v/>
      </c>
      <c r="EX69" s="725" t="str">
        <f t="shared" si="309"/>
        <v/>
      </c>
      <c r="EY69" s="1322">
        <f t="shared" si="310"/>
        <v>0</v>
      </c>
      <c r="EZ69" s="201">
        <f t="shared" si="409"/>
        <v>25</v>
      </c>
      <c r="FA69" s="1467" t="str">
        <f t="shared" si="410"/>
        <v/>
      </c>
      <c r="FB69" s="216" t="str">
        <f t="shared" si="411"/>
        <v/>
      </c>
      <c r="FC69" s="795" t="str" cm="1">
        <f t="array" ref="FC69">IF($FB69="","",INDEX($H$25:$H$49,$DN40))</f>
        <v/>
      </c>
      <c r="FD69" s="234" t="str">
        <f t="shared" si="412"/>
        <v/>
      </c>
      <c r="FE69" s="90">
        <f t="shared" si="311"/>
        <v>0</v>
      </c>
      <c r="FF69" s="711" t="str">
        <f t="shared" si="413"/>
        <v/>
      </c>
      <c r="FG69" s="712" t="str">
        <f t="shared" si="413"/>
        <v/>
      </c>
      <c r="FH69" s="701" t="str">
        <f t="shared" si="444"/>
        <v/>
      </c>
      <c r="FI69" s="704" t="str">
        <f t="shared" si="312"/>
        <v/>
      </c>
      <c r="FJ69" s="701">
        <f t="shared" si="313"/>
        <v>1</v>
      </c>
      <c r="FK69" s="128">
        <f t="shared" si="414"/>
        <v>0</v>
      </c>
      <c r="FL69" s="701" t="str">
        <f t="shared" si="415"/>
        <v/>
      </c>
      <c r="FM69" s="704" t="str">
        <f t="shared" si="314"/>
        <v/>
      </c>
      <c r="FN69" s="701">
        <f t="shared" si="315"/>
        <v>1</v>
      </c>
      <c r="FO69" s="128">
        <f t="shared" si="316"/>
        <v>0</v>
      </c>
      <c r="FP69" s="701" t="str">
        <f t="shared" si="416"/>
        <v/>
      </c>
      <c r="FQ69" s="704" t="str">
        <f t="shared" si="317"/>
        <v/>
      </c>
      <c r="FR69" s="701">
        <f t="shared" si="417"/>
        <v>1</v>
      </c>
      <c r="FS69" s="128">
        <f t="shared" si="318"/>
        <v>0</v>
      </c>
      <c r="FT69" s="701" t="str">
        <f t="shared" si="418"/>
        <v/>
      </c>
      <c r="FU69" s="704" t="str">
        <f t="shared" si="319"/>
        <v/>
      </c>
      <c r="FV69" s="701">
        <f t="shared" si="419"/>
        <v>1</v>
      </c>
      <c r="FW69" s="128">
        <f t="shared" si="320"/>
        <v>0</v>
      </c>
      <c r="FX69" s="701" t="str">
        <f t="shared" si="420"/>
        <v/>
      </c>
      <c r="FY69" s="704" t="str">
        <f t="shared" si="321"/>
        <v/>
      </c>
      <c r="FZ69" s="701">
        <f t="shared" si="421"/>
        <v>1</v>
      </c>
      <c r="GA69" s="128">
        <f t="shared" si="322"/>
        <v>0</v>
      </c>
      <c r="GB69" s="701" t="str">
        <f t="shared" si="422"/>
        <v/>
      </c>
      <c r="GC69" s="704" t="str">
        <f t="shared" si="323"/>
        <v/>
      </c>
      <c r="GD69" s="701">
        <f t="shared" si="423"/>
        <v>1</v>
      </c>
      <c r="GE69" s="128">
        <f t="shared" si="324"/>
        <v>0</v>
      </c>
      <c r="GF69" s="701" t="str">
        <f t="shared" si="424"/>
        <v/>
      </c>
      <c r="GG69" s="704" t="str">
        <f t="shared" si="325"/>
        <v/>
      </c>
      <c r="GH69" s="701">
        <f t="shared" si="326"/>
        <v>1</v>
      </c>
      <c r="GI69" s="128">
        <f t="shared" si="327"/>
        <v>0</v>
      </c>
      <c r="GJ69" s="701" t="str">
        <f t="shared" si="425"/>
        <v/>
      </c>
      <c r="GK69" s="704" t="str">
        <f t="shared" si="328"/>
        <v/>
      </c>
      <c r="GL69" s="701">
        <f t="shared" si="329"/>
        <v>1</v>
      </c>
      <c r="GM69" s="128">
        <f t="shared" si="330"/>
        <v>0</v>
      </c>
      <c r="GN69" s="701" t="str">
        <f t="shared" si="426"/>
        <v/>
      </c>
      <c r="GO69" s="704" t="str">
        <f t="shared" si="331"/>
        <v/>
      </c>
      <c r="GP69" s="701">
        <f t="shared" si="332"/>
        <v>1</v>
      </c>
      <c r="GQ69" s="128">
        <f t="shared" si="333"/>
        <v>0</v>
      </c>
      <c r="GR69" s="701" t="str">
        <f t="shared" si="427"/>
        <v/>
      </c>
      <c r="GS69" s="704" t="str">
        <f t="shared" si="334"/>
        <v/>
      </c>
      <c r="GT69" s="701">
        <f t="shared" si="335"/>
        <v>1</v>
      </c>
      <c r="GU69" s="128">
        <f t="shared" si="336"/>
        <v>0</v>
      </c>
      <c r="GV69" s="701" t="str">
        <f t="shared" si="428"/>
        <v/>
      </c>
      <c r="GW69" s="704" t="str">
        <f t="shared" si="337"/>
        <v/>
      </c>
      <c r="GX69" s="701">
        <f t="shared" si="338"/>
        <v>1</v>
      </c>
      <c r="GY69" s="128">
        <f t="shared" si="339"/>
        <v>0</v>
      </c>
      <c r="GZ69" s="701" t="str">
        <f t="shared" si="429"/>
        <v/>
      </c>
      <c r="HA69" s="704" t="str">
        <f t="shared" si="340"/>
        <v/>
      </c>
      <c r="HB69" s="701">
        <f t="shared" si="341"/>
        <v>1</v>
      </c>
      <c r="HC69" s="128">
        <f t="shared" si="342"/>
        <v>0</v>
      </c>
      <c r="HD69" s="701" t="str">
        <f t="shared" si="430"/>
        <v/>
      </c>
      <c r="HE69" s="704" t="str">
        <f t="shared" si="343"/>
        <v/>
      </c>
      <c r="HF69" s="701">
        <f t="shared" si="344"/>
        <v>1</v>
      </c>
      <c r="HG69" s="128">
        <f t="shared" si="345"/>
        <v>0</v>
      </c>
      <c r="HH69" s="701" t="str">
        <f t="shared" si="431"/>
        <v/>
      </c>
      <c r="HI69" s="704" t="str">
        <f t="shared" si="346"/>
        <v/>
      </c>
      <c r="HJ69" s="701">
        <f t="shared" si="347"/>
        <v>1</v>
      </c>
      <c r="HK69" s="128">
        <f t="shared" si="348"/>
        <v>0</v>
      </c>
      <c r="HL69" s="701" t="str">
        <f t="shared" si="432"/>
        <v/>
      </c>
      <c r="HM69" s="704" t="str">
        <f t="shared" si="349"/>
        <v/>
      </c>
      <c r="HN69" s="701">
        <f t="shared" si="350"/>
        <v>1</v>
      </c>
      <c r="HO69" s="128">
        <f t="shared" si="351"/>
        <v>0</v>
      </c>
      <c r="HP69" s="701" t="str">
        <f t="shared" si="433"/>
        <v/>
      </c>
      <c r="HQ69" s="704" t="str">
        <f t="shared" si="352"/>
        <v/>
      </c>
      <c r="HR69" s="701">
        <f t="shared" si="353"/>
        <v>1</v>
      </c>
      <c r="HS69" s="128">
        <f t="shared" si="354"/>
        <v>0</v>
      </c>
      <c r="HT69" s="701" t="str">
        <f t="shared" si="434"/>
        <v/>
      </c>
      <c r="HU69" s="704" t="str">
        <f t="shared" si="355"/>
        <v/>
      </c>
      <c r="HV69" s="701">
        <f t="shared" si="356"/>
        <v>1</v>
      </c>
      <c r="HW69" s="128">
        <f t="shared" si="357"/>
        <v>0</v>
      </c>
      <c r="HX69" s="701" t="str">
        <f t="shared" si="435"/>
        <v/>
      </c>
      <c r="HY69" s="704" t="str">
        <f t="shared" si="358"/>
        <v/>
      </c>
      <c r="HZ69" s="701">
        <f t="shared" si="359"/>
        <v>1</v>
      </c>
      <c r="IA69" s="128">
        <f t="shared" si="360"/>
        <v>0</v>
      </c>
      <c r="IB69" s="701" t="str">
        <f t="shared" si="436"/>
        <v/>
      </c>
      <c r="IC69" s="704" t="str">
        <f t="shared" si="361"/>
        <v/>
      </c>
      <c r="ID69" s="701">
        <f t="shared" si="362"/>
        <v>1</v>
      </c>
      <c r="IE69" s="128">
        <f t="shared" si="363"/>
        <v>0</v>
      </c>
      <c r="IF69" s="701" t="str">
        <f t="shared" si="437"/>
        <v/>
      </c>
      <c r="IG69" s="704" t="str">
        <f t="shared" si="364"/>
        <v/>
      </c>
      <c r="IH69" s="701">
        <f t="shared" si="365"/>
        <v>1</v>
      </c>
      <c r="II69" s="128">
        <f t="shared" si="366"/>
        <v>0</v>
      </c>
      <c r="IJ69" s="701" t="str">
        <f t="shared" si="438"/>
        <v/>
      </c>
      <c r="IK69" s="704" t="str">
        <f t="shared" si="367"/>
        <v/>
      </c>
      <c r="IL69" s="701">
        <f t="shared" si="368"/>
        <v>1</v>
      </c>
      <c r="IM69" s="128">
        <f t="shared" si="369"/>
        <v>0</v>
      </c>
      <c r="IN69" s="701" t="str">
        <f t="shared" si="439"/>
        <v/>
      </c>
      <c r="IO69" s="704" t="str">
        <f t="shared" si="370"/>
        <v/>
      </c>
      <c r="IP69" s="701">
        <f t="shared" si="371"/>
        <v>1</v>
      </c>
      <c r="IQ69" s="128">
        <f t="shared" si="372"/>
        <v>0</v>
      </c>
      <c r="IR69" s="701" t="str">
        <f t="shared" si="440"/>
        <v/>
      </c>
      <c r="IS69" s="704" t="str">
        <f t="shared" si="373"/>
        <v/>
      </c>
      <c r="IT69" s="701">
        <f t="shared" si="374"/>
        <v>1</v>
      </c>
      <c r="IU69" s="128">
        <f t="shared" si="375"/>
        <v>0</v>
      </c>
      <c r="IV69" s="701" t="str">
        <f t="shared" si="441"/>
        <v/>
      </c>
      <c r="IW69" s="704" t="str">
        <f t="shared" si="376"/>
        <v/>
      </c>
      <c r="IX69" s="701">
        <f t="shared" si="377"/>
        <v>1</v>
      </c>
      <c r="IY69" s="128">
        <f t="shared" si="378"/>
        <v>0</v>
      </c>
    </row>
    <row r="70" spans="3:259" s="2" customFormat="1" ht="13.3" thickTop="1" thickBot="1" x14ac:dyDescent="0.35">
      <c r="D70" s="1"/>
      <c r="E70" s="1"/>
      <c r="F70" s="1"/>
      <c r="G70" s="1"/>
      <c r="H70" s="1"/>
      <c r="J70" s="1"/>
      <c r="N70" s="769"/>
      <c r="O70" s="769"/>
      <c r="P70" s="769"/>
      <c r="Q70" s="769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T70" s="87" t="str">
        <f t="shared" si="443"/>
        <v/>
      </c>
      <c r="AU70" s="78" t="str">
        <f t="shared" si="445"/>
        <v/>
      </c>
      <c r="AV70" s="78" t="str">
        <f>IF($F41="","",IF($F41=$F$37,$AW$37,IF($F41=$F$38,$AW$38,IF($F41=$F$39,$AW$39,IF($F41=$F$40,$AW$40,IF($F41=$F$42,$AW$42,IF($F41=$F$43,$AW$43,IF($F41=$F$44,$AW$44,""))))))))</f>
        <v/>
      </c>
      <c r="AW70" s="78" t="str">
        <f t="shared" si="251"/>
        <v/>
      </c>
      <c r="AX70" s="239">
        <f t="shared" si="252"/>
        <v>0</v>
      </c>
      <c r="AY70" s="239" t="str">
        <f t="shared" si="253"/>
        <v/>
      </c>
      <c r="AZ70" s="214" t="str">
        <f t="shared" si="254"/>
        <v/>
      </c>
      <c r="BA70" s="214" t="str">
        <f t="shared" si="255"/>
        <v/>
      </c>
      <c r="BB70" s="214" t="str">
        <f t="shared" si="256"/>
        <v/>
      </c>
      <c r="BC70" s="214" t="str">
        <f t="shared" si="257"/>
        <v/>
      </c>
      <c r="BD70" s="1322">
        <f t="shared" si="379"/>
        <v>17</v>
      </c>
      <c r="BE70" s="1"/>
      <c r="BF70" s="214" t="str">
        <f t="shared" si="258"/>
        <v/>
      </c>
      <c r="BG70" s="94">
        <f t="shared" si="259"/>
        <v>0</v>
      </c>
      <c r="BH70" s="94">
        <f t="shared" si="260"/>
        <v>0</v>
      </c>
      <c r="BI70" s="94">
        <f t="shared" si="261"/>
        <v>0</v>
      </c>
      <c r="BJ70" s="237">
        <f t="shared" si="380"/>
        <v>0</v>
      </c>
      <c r="BK70" s="237">
        <f t="shared" si="262"/>
        <v>0</v>
      </c>
      <c r="BL70" s="237">
        <f t="shared" si="263"/>
        <v>0</v>
      </c>
      <c r="BM70" s="237">
        <f t="shared" si="264"/>
        <v>0</v>
      </c>
      <c r="BN70" s="237">
        <f t="shared" si="265"/>
        <v>0</v>
      </c>
      <c r="BO70" s="237">
        <f t="shared" si="266"/>
        <v>0</v>
      </c>
      <c r="BP70" s="237">
        <f t="shared" si="267"/>
        <v>0</v>
      </c>
      <c r="BQ70" s="237">
        <f t="shared" si="268"/>
        <v>0</v>
      </c>
      <c r="BR70" s="237">
        <f t="shared" si="269"/>
        <v>0</v>
      </c>
      <c r="BS70" s="237">
        <f t="shared" si="270"/>
        <v>0</v>
      </c>
      <c r="BT70" s="237">
        <f t="shared" si="381"/>
        <v>0</v>
      </c>
      <c r="BU70" s="237">
        <f t="shared" si="382"/>
        <v>0</v>
      </c>
      <c r="BV70" s="237">
        <f t="shared" si="383"/>
        <v>0</v>
      </c>
      <c r="BW70" s="237">
        <f t="shared" si="384"/>
        <v>0</v>
      </c>
      <c r="BX70" s="237">
        <f t="shared" si="385"/>
        <v>0</v>
      </c>
      <c r="BY70" s="237">
        <f t="shared" si="386"/>
        <v>0</v>
      </c>
      <c r="BZ70" s="237">
        <f t="shared" si="387"/>
        <v>0</v>
      </c>
      <c r="CA70" s="237">
        <f t="shared" si="388"/>
        <v>0</v>
      </c>
      <c r="CB70" s="237">
        <f t="shared" si="389"/>
        <v>0</v>
      </c>
      <c r="CC70" s="237">
        <f t="shared" si="390"/>
        <v>0</v>
      </c>
      <c r="CD70" s="237">
        <f t="shared" si="391"/>
        <v>0</v>
      </c>
      <c r="CE70" s="237">
        <f t="shared" si="392"/>
        <v>0</v>
      </c>
      <c r="CF70" s="237">
        <f t="shared" si="393"/>
        <v>0</v>
      </c>
      <c r="CG70" s="237">
        <f t="shared" si="394"/>
        <v>0</v>
      </c>
      <c r="CH70" s="237">
        <f t="shared" si="395"/>
        <v>0</v>
      </c>
      <c r="CI70" s="3"/>
      <c r="CJ70" s="3"/>
      <c r="CK70" s="1"/>
      <c r="CL70" s="1"/>
      <c r="CM70" s="1"/>
      <c r="CN70" s="1"/>
      <c r="CO70" s="1"/>
      <c r="CP70" s="1"/>
      <c r="CQ70" s="1"/>
      <c r="CR70" s="524">
        <f t="shared" si="396"/>
        <v>0</v>
      </c>
      <c r="CS70" s="1"/>
      <c r="CT70" s="495" t="str">
        <f t="shared" si="397"/>
        <v/>
      </c>
      <c r="CU70" s="496" t="str">
        <f t="shared" si="398"/>
        <v/>
      </c>
      <c r="CV70" s="496" t="str">
        <f t="shared" si="399"/>
        <v/>
      </c>
      <c r="CW70" s="1"/>
      <c r="CX70" s="1026" t="str">
        <f t="shared" si="271"/>
        <v/>
      </c>
      <c r="CY70" s="1026" t="str">
        <f t="shared" si="272"/>
        <v/>
      </c>
      <c r="CZ70" s="1473" t="str">
        <f t="shared" si="273"/>
        <v/>
      </c>
      <c r="DA70" s="1473" t="str">
        <f t="shared" si="274"/>
        <v/>
      </c>
      <c r="DB70" s="1474" t="str">
        <f t="shared" si="275"/>
        <v/>
      </c>
      <c r="DC70" s="1474" t="str">
        <f t="shared" si="276"/>
        <v/>
      </c>
      <c r="DD70" s="1473" t="str">
        <f t="shared" si="400"/>
        <v/>
      </c>
      <c r="DE70" s="1473" t="str">
        <f t="shared" si="401"/>
        <v/>
      </c>
      <c r="DF70" s="1476" t="str">
        <f t="shared" si="277"/>
        <v/>
      </c>
      <c r="DG70" s="1476" t="str">
        <f t="shared" si="278"/>
        <v/>
      </c>
      <c r="DJ70" s="93" t="str">
        <f t="shared" si="402"/>
        <v/>
      </c>
      <c r="DK70" s="93" t="str">
        <f t="shared" si="403"/>
        <v/>
      </c>
      <c r="DL70" s="93">
        <f t="shared" si="404"/>
        <v>0</v>
      </c>
      <c r="DM70" s="93" t="str">
        <f t="shared" si="279"/>
        <v/>
      </c>
      <c r="DN70" s="33">
        <v>17</v>
      </c>
      <c r="DO70" s="93" t="str">
        <f t="shared" si="280"/>
        <v/>
      </c>
      <c r="DP70" s="1"/>
      <c r="DQ70" s="33">
        <v>17</v>
      </c>
      <c r="DR70" s="1486" t="str">
        <f t="shared" si="405"/>
        <v/>
      </c>
      <c r="DS70" s="144" t="str">
        <f t="shared" si="281"/>
        <v/>
      </c>
      <c r="DT70" s="144" t="str">
        <f t="shared" si="282"/>
        <v/>
      </c>
      <c r="DU70" s="144" t="str">
        <f t="shared" si="283"/>
        <v/>
      </c>
      <c r="DV70" s="144" t="str">
        <f t="shared" si="284"/>
        <v/>
      </c>
      <c r="DW70" s="144" t="str">
        <f t="shared" si="285"/>
        <v/>
      </c>
      <c r="DX70" s="144" t="str">
        <f t="shared" si="286"/>
        <v/>
      </c>
      <c r="DY70" s="144" t="str">
        <f t="shared" si="287"/>
        <v/>
      </c>
      <c r="DZ70" s="144" t="str">
        <f t="shared" si="288"/>
        <v/>
      </c>
      <c r="EA70" s="144" t="str">
        <f t="shared" si="289"/>
        <v/>
      </c>
      <c r="EB70" s="144" t="str">
        <f t="shared" si="290"/>
        <v/>
      </c>
      <c r="EC70" s="144" t="str">
        <f t="shared" si="291"/>
        <v/>
      </c>
      <c r="ED70" s="144" t="str">
        <f t="shared" si="292"/>
        <v/>
      </c>
      <c r="EE70" s="144" t="str">
        <f t="shared" si="293"/>
        <v/>
      </c>
      <c r="EF70" s="144" t="str">
        <f t="shared" si="294"/>
        <v/>
      </c>
      <c r="EG70" s="144" t="str">
        <f t="shared" si="295"/>
        <v/>
      </c>
      <c r="EH70" s="144" t="str">
        <f t="shared" si="296"/>
        <v/>
      </c>
      <c r="EI70" s="144" t="str">
        <f t="shared" si="297"/>
        <v/>
      </c>
      <c r="EJ70" s="144" t="str">
        <f t="shared" si="298"/>
        <v/>
      </c>
      <c r="EK70" s="144" t="str">
        <f t="shared" si="299"/>
        <v/>
      </c>
      <c r="EL70" s="144" t="str">
        <f t="shared" si="300"/>
        <v/>
      </c>
      <c r="EM70" s="144" t="str">
        <f t="shared" si="301"/>
        <v/>
      </c>
      <c r="EN70" s="720" t="str">
        <f t="shared" si="302"/>
        <v/>
      </c>
      <c r="EO70" s="720" t="str">
        <f t="shared" si="303"/>
        <v/>
      </c>
      <c r="EP70" s="720" t="str">
        <f t="shared" si="304"/>
        <v/>
      </c>
      <c r="EQ70" s="720" t="str">
        <f t="shared" si="305"/>
        <v/>
      </c>
      <c r="ER70" s="720" t="str">
        <f t="shared" si="306"/>
        <v/>
      </c>
      <c r="ES70" s="1460">
        <f t="shared" si="406"/>
        <v>0</v>
      </c>
      <c r="ET70" s="201">
        <f t="shared" si="407"/>
        <v>26</v>
      </c>
      <c r="EU70" s="137" t="str">
        <f t="shared" si="408"/>
        <v/>
      </c>
      <c r="EV70" s="290" t="str">
        <f t="shared" si="307"/>
        <v/>
      </c>
      <c r="EW70" s="290" t="str">
        <f t="shared" si="308"/>
        <v/>
      </c>
      <c r="EX70" s="725" t="str">
        <f t="shared" si="309"/>
        <v/>
      </c>
      <c r="EY70" s="1322">
        <f t="shared" si="310"/>
        <v>0</v>
      </c>
      <c r="EZ70" s="201">
        <f t="shared" si="409"/>
        <v>25</v>
      </c>
      <c r="FA70" s="1467" t="str">
        <f t="shared" si="410"/>
        <v/>
      </c>
      <c r="FB70" s="216" t="str">
        <f t="shared" si="411"/>
        <v/>
      </c>
      <c r="FC70" s="795" t="str" cm="1">
        <f t="array" ref="FC70">IF($FB70="","",INDEX($H$25:$H$49,$DN41))</f>
        <v/>
      </c>
      <c r="FD70" s="234" t="str">
        <f t="shared" si="412"/>
        <v/>
      </c>
      <c r="FE70" s="90">
        <f t="shared" si="311"/>
        <v>0</v>
      </c>
      <c r="FF70" s="711" t="str">
        <f t="shared" si="413"/>
        <v/>
      </c>
      <c r="FG70" s="712" t="str">
        <f t="shared" si="413"/>
        <v/>
      </c>
      <c r="FH70" s="701" t="str">
        <f t="shared" si="444"/>
        <v/>
      </c>
      <c r="FI70" s="704" t="str">
        <f t="shared" si="312"/>
        <v/>
      </c>
      <c r="FJ70" s="701">
        <f t="shared" si="313"/>
        <v>1</v>
      </c>
      <c r="FK70" s="128">
        <f t="shared" si="414"/>
        <v>0</v>
      </c>
      <c r="FL70" s="701" t="str">
        <f t="shared" si="415"/>
        <v/>
      </c>
      <c r="FM70" s="704" t="str">
        <f t="shared" si="314"/>
        <v/>
      </c>
      <c r="FN70" s="701">
        <f t="shared" si="315"/>
        <v>1</v>
      </c>
      <c r="FO70" s="128">
        <f t="shared" si="316"/>
        <v>0</v>
      </c>
      <c r="FP70" s="701" t="str">
        <f t="shared" si="416"/>
        <v/>
      </c>
      <c r="FQ70" s="704" t="str">
        <f t="shared" si="317"/>
        <v/>
      </c>
      <c r="FR70" s="701">
        <f t="shared" si="417"/>
        <v>1</v>
      </c>
      <c r="FS70" s="128">
        <f t="shared" si="318"/>
        <v>0</v>
      </c>
      <c r="FT70" s="701" t="str">
        <f t="shared" si="418"/>
        <v/>
      </c>
      <c r="FU70" s="704" t="str">
        <f t="shared" si="319"/>
        <v/>
      </c>
      <c r="FV70" s="701">
        <f t="shared" si="419"/>
        <v>1</v>
      </c>
      <c r="FW70" s="128">
        <f t="shared" si="320"/>
        <v>0</v>
      </c>
      <c r="FX70" s="701" t="str">
        <f t="shared" si="420"/>
        <v/>
      </c>
      <c r="FY70" s="704" t="str">
        <f t="shared" si="321"/>
        <v/>
      </c>
      <c r="FZ70" s="701">
        <f t="shared" si="421"/>
        <v>1</v>
      </c>
      <c r="GA70" s="128">
        <f t="shared" si="322"/>
        <v>0</v>
      </c>
      <c r="GB70" s="701" t="str">
        <f t="shared" si="422"/>
        <v/>
      </c>
      <c r="GC70" s="704" t="str">
        <f t="shared" si="323"/>
        <v/>
      </c>
      <c r="GD70" s="701">
        <f t="shared" si="423"/>
        <v>1</v>
      </c>
      <c r="GE70" s="128">
        <f t="shared" si="324"/>
        <v>0</v>
      </c>
      <c r="GF70" s="701" t="str">
        <f t="shared" si="424"/>
        <v/>
      </c>
      <c r="GG70" s="704" t="str">
        <f t="shared" si="325"/>
        <v/>
      </c>
      <c r="GH70" s="701">
        <f t="shared" si="326"/>
        <v>1</v>
      </c>
      <c r="GI70" s="128">
        <f t="shared" si="327"/>
        <v>0</v>
      </c>
      <c r="GJ70" s="701" t="str">
        <f t="shared" si="425"/>
        <v/>
      </c>
      <c r="GK70" s="704" t="str">
        <f t="shared" si="328"/>
        <v/>
      </c>
      <c r="GL70" s="701">
        <f t="shared" si="329"/>
        <v>1</v>
      </c>
      <c r="GM70" s="128">
        <f t="shared" si="330"/>
        <v>0</v>
      </c>
      <c r="GN70" s="701" t="str">
        <f t="shared" si="426"/>
        <v/>
      </c>
      <c r="GO70" s="704" t="str">
        <f t="shared" si="331"/>
        <v/>
      </c>
      <c r="GP70" s="701">
        <f t="shared" si="332"/>
        <v>1</v>
      </c>
      <c r="GQ70" s="128">
        <f t="shared" si="333"/>
        <v>0</v>
      </c>
      <c r="GR70" s="701" t="str">
        <f t="shared" si="427"/>
        <v/>
      </c>
      <c r="GS70" s="704" t="str">
        <f t="shared" si="334"/>
        <v/>
      </c>
      <c r="GT70" s="701">
        <f t="shared" si="335"/>
        <v>1</v>
      </c>
      <c r="GU70" s="128">
        <f t="shared" si="336"/>
        <v>0</v>
      </c>
      <c r="GV70" s="701" t="str">
        <f t="shared" si="428"/>
        <v/>
      </c>
      <c r="GW70" s="704" t="str">
        <f t="shared" si="337"/>
        <v/>
      </c>
      <c r="GX70" s="701">
        <f t="shared" si="338"/>
        <v>1</v>
      </c>
      <c r="GY70" s="128">
        <f t="shared" si="339"/>
        <v>0</v>
      </c>
      <c r="GZ70" s="701" t="str">
        <f t="shared" si="429"/>
        <v/>
      </c>
      <c r="HA70" s="704" t="str">
        <f t="shared" si="340"/>
        <v/>
      </c>
      <c r="HB70" s="701">
        <f t="shared" si="341"/>
        <v>1</v>
      </c>
      <c r="HC70" s="128">
        <f t="shared" si="342"/>
        <v>0</v>
      </c>
      <c r="HD70" s="701" t="str">
        <f t="shared" si="430"/>
        <v/>
      </c>
      <c r="HE70" s="704" t="str">
        <f t="shared" si="343"/>
        <v/>
      </c>
      <c r="HF70" s="701">
        <f t="shared" si="344"/>
        <v>1</v>
      </c>
      <c r="HG70" s="128">
        <f t="shared" si="345"/>
        <v>0</v>
      </c>
      <c r="HH70" s="701" t="str">
        <f t="shared" si="431"/>
        <v/>
      </c>
      <c r="HI70" s="704" t="str">
        <f t="shared" si="346"/>
        <v/>
      </c>
      <c r="HJ70" s="701">
        <f t="shared" si="347"/>
        <v>1</v>
      </c>
      <c r="HK70" s="128">
        <f t="shared" si="348"/>
        <v>0</v>
      </c>
      <c r="HL70" s="701" t="str">
        <f t="shared" si="432"/>
        <v/>
      </c>
      <c r="HM70" s="704" t="str">
        <f t="shared" si="349"/>
        <v/>
      </c>
      <c r="HN70" s="701">
        <f t="shared" si="350"/>
        <v>1</v>
      </c>
      <c r="HO70" s="128">
        <f t="shared" si="351"/>
        <v>0</v>
      </c>
      <c r="HP70" s="701" t="str">
        <f t="shared" si="433"/>
        <v/>
      </c>
      <c r="HQ70" s="704" t="str">
        <f t="shared" si="352"/>
        <v/>
      </c>
      <c r="HR70" s="701">
        <f t="shared" si="353"/>
        <v>1</v>
      </c>
      <c r="HS70" s="128">
        <f t="shared" si="354"/>
        <v>0</v>
      </c>
      <c r="HT70" s="701" t="str">
        <f t="shared" si="434"/>
        <v/>
      </c>
      <c r="HU70" s="704" t="str">
        <f t="shared" si="355"/>
        <v/>
      </c>
      <c r="HV70" s="701">
        <f t="shared" si="356"/>
        <v>1</v>
      </c>
      <c r="HW70" s="128">
        <f t="shared" si="357"/>
        <v>0</v>
      </c>
      <c r="HX70" s="701" t="str">
        <f t="shared" si="435"/>
        <v/>
      </c>
      <c r="HY70" s="704" t="str">
        <f t="shared" si="358"/>
        <v/>
      </c>
      <c r="HZ70" s="701">
        <f t="shared" si="359"/>
        <v>1</v>
      </c>
      <c r="IA70" s="128">
        <f t="shared" si="360"/>
        <v>0</v>
      </c>
      <c r="IB70" s="701" t="str">
        <f t="shared" si="436"/>
        <v/>
      </c>
      <c r="IC70" s="704" t="str">
        <f t="shared" si="361"/>
        <v/>
      </c>
      <c r="ID70" s="701">
        <f t="shared" si="362"/>
        <v>1</v>
      </c>
      <c r="IE70" s="128">
        <f t="shared" si="363"/>
        <v>0</v>
      </c>
      <c r="IF70" s="701" t="str">
        <f t="shared" si="437"/>
        <v/>
      </c>
      <c r="IG70" s="704" t="str">
        <f t="shared" si="364"/>
        <v/>
      </c>
      <c r="IH70" s="701">
        <f t="shared" si="365"/>
        <v>1</v>
      </c>
      <c r="II70" s="128">
        <f t="shared" si="366"/>
        <v>0</v>
      </c>
      <c r="IJ70" s="701" t="str">
        <f t="shared" si="438"/>
        <v/>
      </c>
      <c r="IK70" s="704" t="str">
        <f t="shared" si="367"/>
        <v/>
      </c>
      <c r="IL70" s="701">
        <f t="shared" si="368"/>
        <v>1</v>
      </c>
      <c r="IM70" s="128">
        <f t="shared" si="369"/>
        <v>0</v>
      </c>
      <c r="IN70" s="701" t="str">
        <f t="shared" si="439"/>
        <v/>
      </c>
      <c r="IO70" s="704" t="str">
        <f t="shared" si="370"/>
        <v/>
      </c>
      <c r="IP70" s="701">
        <f t="shared" si="371"/>
        <v>1</v>
      </c>
      <c r="IQ70" s="128">
        <f t="shared" si="372"/>
        <v>0</v>
      </c>
      <c r="IR70" s="701" t="str">
        <f t="shared" si="440"/>
        <v/>
      </c>
      <c r="IS70" s="704" t="str">
        <f t="shared" si="373"/>
        <v/>
      </c>
      <c r="IT70" s="701">
        <f t="shared" si="374"/>
        <v>1</v>
      </c>
      <c r="IU70" s="128">
        <f t="shared" si="375"/>
        <v>0</v>
      </c>
      <c r="IV70" s="701" t="str">
        <f t="shared" si="441"/>
        <v/>
      </c>
      <c r="IW70" s="704" t="str">
        <f t="shared" si="376"/>
        <v/>
      </c>
      <c r="IX70" s="701">
        <f t="shared" si="377"/>
        <v>1</v>
      </c>
      <c r="IY70" s="128">
        <f t="shared" si="378"/>
        <v>0</v>
      </c>
    </row>
    <row r="71" spans="3:259" s="2" customFormat="1" ht="13.3" thickTop="1" thickBot="1" x14ac:dyDescent="0.35">
      <c r="D71" s="1"/>
      <c r="E71" s="1"/>
      <c r="F71" s="1"/>
      <c r="G71" s="1"/>
      <c r="H71" s="1"/>
      <c r="J71" s="1"/>
      <c r="N71" s="769"/>
      <c r="O71" s="769"/>
      <c r="P71" s="769"/>
      <c r="Q71" s="769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T71" s="87" t="str">
        <f t="shared" si="443"/>
        <v/>
      </c>
      <c r="AU71" s="78" t="str">
        <f t="shared" si="445"/>
        <v/>
      </c>
      <c r="AV71" s="78" t="str">
        <f>IF($F42="","",IF($F42=$F$37,$AW$37,IF($F42=$F$38,$AW$38,IF($F42=$F$39,$AW$39,IF($F42=$F$40,$AW$40,IF($F42=$F$41,$AW$41,IF($F42=$F$43,$AW$43,IF($F42=$F$44,$AW$44,""))))))))</f>
        <v/>
      </c>
      <c r="AW71" s="78" t="str">
        <f t="shared" si="251"/>
        <v/>
      </c>
      <c r="AX71" s="239">
        <f t="shared" si="252"/>
        <v>0</v>
      </c>
      <c r="AY71" s="239" t="str">
        <f t="shared" si="253"/>
        <v/>
      </c>
      <c r="AZ71" s="214" t="str">
        <f t="shared" si="254"/>
        <v/>
      </c>
      <c r="BA71" s="214" t="str">
        <f t="shared" si="255"/>
        <v/>
      </c>
      <c r="BB71" s="214" t="str">
        <f t="shared" si="256"/>
        <v/>
      </c>
      <c r="BC71" s="214" t="str">
        <f t="shared" si="257"/>
        <v/>
      </c>
      <c r="BD71" s="1322">
        <f t="shared" si="379"/>
        <v>18</v>
      </c>
      <c r="BE71" s="1"/>
      <c r="BF71" s="214" t="str">
        <f t="shared" si="258"/>
        <v/>
      </c>
      <c r="BG71" s="94">
        <f t="shared" si="259"/>
        <v>0</v>
      </c>
      <c r="BH71" s="94">
        <f t="shared" si="260"/>
        <v>0</v>
      </c>
      <c r="BI71" s="94">
        <f t="shared" si="261"/>
        <v>0</v>
      </c>
      <c r="BJ71" s="237">
        <f t="shared" si="380"/>
        <v>0</v>
      </c>
      <c r="BK71" s="237">
        <f t="shared" si="262"/>
        <v>0</v>
      </c>
      <c r="BL71" s="237">
        <f t="shared" si="263"/>
        <v>0</v>
      </c>
      <c r="BM71" s="237">
        <f t="shared" si="264"/>
        <v>0</v>
      </c>
      <c r="BN71" s="237">
        <f t="shared" si="265"/>
        <v>0</v>
      </c>
      <c r="BO71" s="237">
        <f t="shared" si="266"/>
        <v>0</v>
      </c>
      <c r="BP71" s="237">
        <f t="shared" si="267"/>
        <v>0</v>
      </c>
      <c r="BQ71" s="237">
        <f t="shared" si="268"/>
        <v>0</v>
      </c>
      <c r="BR71" s="237">
        <f t="shared" si="269"/>
        <v>0</v>
      </c>
      <c r="BS71" s="237">
        <f t="shared" si="270"/>
        <v>0</v>
      </c>
      <c r="BT71" s="237">
        <f t="shared" si="381"/>
        <v>0</v>
      </c>
      <c r="BU71" s="237">
        <f t="shared" si="382"/>
        <v>0</v>
      </c>
      <c r="BV71" s="237">
        <f t="shared" si="383"/>
        <v>0</v>
      </c>
      <c r="BW71" s="237">
        <f t="shared" si="384"/>
        <v>0</v>
      </c>
      <c r="BX71" s="237">
        <f t="shared" si="385"/>
        <v>0</v>
      </c>
      <c r="BY71" s="237">
        <f t="shared" si="386"/>
        <v>0</v>
      </c>
      <c r="BZ71" s="237">
        <f t="shared" si="387"/>
        <v>0</v>
      </c>
      <c r="CA71" s="237">
        <f t="shared" si="388"/>
        <v>0</v>
      </c>
      <c r="CB71" s="237">
        <f t="shared" si="389"/>
        <v>0</v>
      </c>
      <c r="CC71" s="237">
        <f t="shared" si="390"/>
        <v>0</v>
      </c>
      <c r="CD71" s="237">
        <f t="shared" si="391"/>
        <v>0</v>
      </c>
      <c r="CE71" s="237">
        <f t="shared" si="392"/>
        <v>0</v>
      </c>
      <c r="CF71" s="237">
        <f t="shared" si="393"/>
        <v>0</v>
      </c>
      <c r="CG71" s="237">
        <f t="shared" si="394"/>
        <v>0</v>
      </c>
      <c r="CH71" s="237">
        <f t="shared" si="395"/>
        <v>0</v>
      </c>
      <c r="CI71" s="3"/>
      <c r="CJ71" s="3"/>
      <c r="CK71" s="1"/>
      <c r="CL71" s="1"/>
      <c r="CM71" s="1"/>
      <c r="CN71" s="1"/>
      <c r="CO71" s="1"/>
      <c r="CP71" s="1"/>
      <c r="CQ71" s="1"/>
      <c r="CR71" s="524">
        <f t="shared" si="396"/>
        <v>0</v>
      </c>
      <c r="CS71" s="1"/>
      <c r="CT71" s="495" t="str">
        <f t="shared" si="397"/>
        <v/>
      </c>
      <c r="CU71" s="496" t="str">
        <f t="shared" si="398"/>
        <v/>
      </c>
      <c r="CV71" s="496" t="str">
        <f t="shared" si="399"/>
        <v/>
      </c>
      <c r="CW71" s="1"/>
      <c r="CX71" s="1026" t="str">
        <f t="shared" si="271"/>
        <v/>
      </c>
      <c r="CY71" s="1026" t="str">
        <f t="shared" si="272"/>
        <v/>
      </c>
      <c r="CZ71" s="1473" t="str">
        <f t="shared" si="273"/>
        <v/>
      </c>
      <c r="DA71" s="1473" t="str">
        <f t="shared" si="274"/>
        <v/>
      </c>
      <c r="DB71" s="1474" t="str">
        <f t="shared" si="275"/>
        <v/>
      </c>
      <c r="DC71" s="1474" t="str">
        <f t="shared" si="276"/>
        <v/>
      </c>
      <c r="DD71" s="1473" t="str">
        <f t="shared" si="400"/>
        <v/>
      </c>
      <c r="DE71" s="1473" t="str">
        <f t="shared" si="401"/>
        <v/>
      </c>
      <c r="DF71" s="1476" t="str">
        <f t="shared" si="277"/>
        <v/>
      </c>
      <c r="DG71" s="1476" t="str">
        <f t="shared" si="278"/>
        <v/>
      </c>
      <c r="DJ71" s="93" t="str">
        <f t="shared" si="402"/>
        <v/>
      </c>
      <c r="DK71" s="93" t="str">
        <f t="shared" si="403"/>
        <v/>
      </c>
      <c r="DL71" s="93">
        <f t="shared" si="404"/>
        <v>0</v>
      </c>
      <c r="DM71" s="93" t="str">
        <f t="shared" si="279"/>
        <v/>
      </c>
      <c r="DN71" s="33">
        <v>18</v>
      </c>
      <c r="DO71" s="93" t="str">
        <f t="shared" si="280"/>
        <v/>
      </c>
      <c r="DP71" s="1"/>
      <c r="DQ71" s="33">
        <v>18</v>
      </c>
      <c r="DR71" s="1486" t="str">
        <f t="shared" si="405"/>
        <v/>
      </c>
      <c r="DS71" s="144" t="str">
        <f t="shared" si="281"/>
        <v/>
      </c>
      <c r="DT71" s="144" t="str">
        <f t="shared" si="282"/>
        <v/>
      </c>
      <c r="DU71" s="144" t="str">
        <f t="shared" si="283"/>
        <v/>
      </c>
      <c r="DV71" s="144" t="str">
        <f t="shared" si="284"/>
        <v/>
      </c>
      <c r="DW71" s="144" t="str">
        <f t="shared" si="285"/>
        <v/>
      </c>
      <c r="DX71" s="144" t="str">
        <f t="shared" si="286"/>
        <v/>
      </c>
      <c r="DY71" s="144" t="str">
        <f t="shared" si="287"/>
        <v/>
      </c>
      <c r="DZ71" s="144" t="str">
        <f t="shared" si="288"/>
        <v/>
      </c>
      <c r="EA71" s="144" t="str">
        <f t="shared" si="289"/>
        <v/>
      </c>
      <c r="EB71" s="144" t="str">
        <f t="shared" si="290"/>
        <v/>
      </c>
      <c r="EC71" s="144" t="str">
        <f t="shared" si="291"/>
        <v/>
      </c>
      <c r="ED71" s="144" t="str">
        <f t="shared" si="292"/>
        <v/>
      </c>
      <c r="EE71" s="144" t="str">
        <f t="shared" si="293"/>
        <v/>
      </c>
      <c r="EF71" s="144" t="str">
        <f t="shared" si="294"/>
        <v/>
      </c>
      <c r="EG71" s="144" t="str">
        <f t="shared" si="295"/>
        <v/>
      </c>
      <c r="EH71" s="144" t="str">
        <f t="shared" si="296"/>
        <v/>
      </c>
      <c r="EI71" s="144" t="str">
        <f t="shared" si="297"/>
        <v/>
      </c>
      <c r="EJ71" s="144" t="str">
        <f t="shared" si="298"/>
        <v/>
      </c>
      <c r="EK71" s="144" t="str">
        <f t="shared" si="299"/>
        <v/>
      </c>
      <c r="EL71" s="144" t="str">
        <f t="shared" si="300"/>
        <v/>
      </c>
      <c r="EM71" s="144" t="str">
        <f t="shared" si="301"/>
        <v/>
      </c>
      <c r="EN71" s="720" t="str">
        <f t="shared" si="302"/>
        <v/>
      </c>
      <c r="EO71" s="720" t="str">
        <f t="shared" si="303"/>
        <v/>
      </c>
      <c r="EP71" s="720" t="str">
        <f t="shared" si="304"/>
        <v/>
      </c>
      <c r="EQ71" s="720" t="str">
        <f t="shared" si="305"/>
        <v/>
      </c>
      <c r="ER71" s="720" t="str">
        <f t="shared" si="306"/>
        <v/>
      </c>
      <c r="ES71" s="1460">
        <f t="shared" si="406"/>
        <v>0</v>
      </c>
      <c r="ET71" s="201">
        <f t="shared" si="407"/>
        <v>26</v>
      </c>
      <c r="EU71" s="137" t="str">
        <f t="shared" si="408"/>
        <v/>
      </c>
      <c r="EV71" s="290" t="str">
        <f t="shared" si="307"/>
        <v/>
      </c>
      <c r="EW71" s="290" t="str">
        <f t="shared" si="308"/>
        <v/>
      </c>
      <c r="EX71" s="725" t="str">
        <f t="shared" si="309"/>
        <v/>
      </c>
      <c r="EY71" s="1322">
        <f t="shared" si="310"/>
        <v>0</v>
      </c>
      <c r="EZ71" s="201">
        <f t="shared" si="409"/>
        <v>25</v>
      </c>
      <c r="FA71" s="1467" t="str">
        <f t="shared" si="410"/>
        <v/>
      </c>
      <c r="FB71" s="216" t="str">
        <f t="shared" si="411"/>
        <v/>
      </c>
      <c r="FC71" s="795" t="str" cm="1">
        <f t="array" ref="FC71">IF($FB71="","",INDEX($H$25:$H$49,$DN42))</f>
        <v/>
      </c>
      <c r="FD71" s="234" t="str">
        <f t="shared" si="412"/>
        <v/>
      </c>
      <c r="FE71" s="90">
        <f t="shared" si="311"/>
        <v>0</v>
      </c>
      <c r="FF71" s="711" t="str">
        <f t="shared" si="413"/>
        <v/>
      </c>
      <c r="FG71" s="712" t="str">
        <f t="shared" si="413"/>
        <v/>
      </c>
      <c r="FH71" s="701" t="str">
        <f t="shared" si="444"/>
        <v/>
      </c>
      <c r="FI71" s="704" t="str">
        <f t="shared" si="312"/>
        <v/>
      </c>
      <c r="FJ71" s="701">
        <f t="shared" si="313"/>
        <v>1</v>
      </c>
      <c r="FK71" s="128">
        <f t="shared" si="414"/>
        <v>0</v>
      </c>
      <c r="FL71" s="701" t="str">
        <f t="shared" si="415"/>
        <v/>
      </c>
      <c r="FM71" s="704" t="str">
        <f t="shared" si="314"/>
        <v/>
      </c>
      <c r="FN71" s="701">
        <f t="shared" si="315"/>
        <v>1</v>
      </c>
      <c r="FO71" s="128">
        <f t="shared" si="316"/>
        <v>0</v>
      </c>
      <c r="FP71" s="701" t="str">
        <f t="shared" si="416"/>
        <v/>
      </c>
      <c r="FQ71" s="704" t="str">
        <f t="shared" si="317"/>
        <v/>
      </c>
      <c r="FR71" s="701">
        <f t="shared" si="417"/>
        <v>1</v>
      </c>
      <c r="FS71" s="128">
        <f t="shared" si="318"/>
        <v>0</v>
      </c>
      <c r="FT71" s="701" t="str">
        <f t="shared" si="418"/>
        <v/>
      </c>
      <c r="FU71" s="704" t="str">
        <f t="shared" si="319"/>
        <v/>
      </c>
      <c r="FV71" s="701">
        <f t="shared" si="419"/>
        <v>1</v>
      </c>
      <c r="FW71" s="128">
        <f t="shared" si="320"/>
        <v>0</v>
      </c>
      <c r="FX71" s="701" t="str">
        <f t="shared" si="420"/>
        <v/>
      </c>
      <c r="FY71" s="704" t="str">
        <f t="shared" si="321"/>
        <v/>
      </c>
      <c r="FZ71" s="701">
        <f t="shared" si="421"/>
        <v>1</v>
      </c>
      <c r="GA71" s="128">
        <f t="shared" si="322"/>
        <v>0</v>
      </c>
      <c r="GB71" s="701" t="str">
        <f t="shared" si="422"/>
        <v/>
      </c>
      <c r="GC71" s="704" t="str">
        <f t="shared" si="323"/>
        <v/>
      </c>
      <c r="GD71" s="701">
        <f t="shared" si="423"/>
        <v>1</v>
      </c>
      <c r="GE71" s="128">
        <f t="shared" si="324"/>
        <v>0</v>
      </c>
      <c r="GF71" s="701" t="str">
        <f t="shared" si="424"/>
        <v/>
      </c>
      <c r="GG71" s="704" t="str">
        <f t="shared" si="325"/>
        <v/>
      </c>
      <c r="GH71" s="701">
        <f t="shared" si="326"/>
        <v>1</v>
      </c>
      <c r="GI71" s="128">
        <f t="shared" si="327"/>
        <v>0</v>
      </c>
      <c r="GJ71" s="701" t="str">
        <f t="shared" si="425"/>
        <v/>
      </c>
      <c r="GK71" s="704" t="str">
        <f t="shared" si="328"/>
        <v/>
      </c>
      <c r="GL71" s="701">
        <f t="shared" si="329"/>
        <v>1</v>
      </c>
      <c r="GM71" s="128">
        <f t="shared" si="330"/>
        <v>0</v>
      </c>
      <c r="GN71" s="701" t="str">
        <f t="shared" si="426"/>
        <v/>
      </c>
      <c r="GO71" s="704" t="str">
        <f t="shared" si="331"/>
        <v/>
      </c>
      <c r="GP71" s="701">
        <f t="shared" si="332"/>
        <v>1</v>
      </c>
      <c r="GQ71" s="128">
        <f t="shared" si="333"/>
        <v>0</v>
      </c>
      <c r="GR71" s="701" t="str">
        <f t="shared" si="427"/>
        <v/>
      </c>
      <c r="GS71" s="704" t="str">
        <f t="shared" si="334"/>
        <v/>
      </c>
      <c r="GT71" s="701">
        <f t="shared" si="335"/>
        <v>1</v>
      </c>
      <c r="GU71" s="128">
        <f t="shared" si="336"/>
        <v>0</v>
      </c>
      <c r="GV71" s="701" t="str">
        <f t="shared" si="428"/>
        <v/>
      </c>
      <c r="GW71" s="704" t="str">
        <f t="shared" si="337"/>
        <v/>
      </c>
      <c r="GX71" s="701">
        <f t="shared" si="338"/>
        <v>1</v>
      </c>
      <c r="GY71" s="128">
        <f t="shared" si="339"/>
        <v>0</v>
      </c>
      <c r="GZ71" s="701" t="str">
        <f t="shared" si="429"/>
        <v/>
      </c>
      <c r="HA71" s="704" t="str">
        <f t="shared" si="340"/>
        <v/>
      </c>
      <c r="HB71" s="701">
        <f t="shared" si="341"/>
        <v>1</v>
      </c>
      <c r="HC71" s="128">
        <f t="shared" si="342"/>
        <v>0</v>
      </c>
      <c r="HD71" s="701" t="str">
        <f t="shared" si="430"/>
        <v/>
      </c>
      <c r="HE71" s="704" t="str">
        <f t="shared" si="343"/>
        <v/>
      </c>
      <c r="HF71" s="701">
        <f t="shared" si="344"/>
        <v>1</v>
      </c>
      <c r="HG71" s="128">
        <f t="shared" si="345"/>
        <v>0</v>
      </c>
      <c r="HH71" s="701" t="str">
        <f t="shared" si="431"/>
        <v/>
      </c>
      <c r="HI71" s="704" t="str">
        <f t="shared" si="346"/>
        <v/>
      </c>
      <c r="HJ71" s="701">
        <f t="shared" si="347"/>
        <v>1</v>
      </c>
      <c r="HK71" s="128">
        <f t="shared" si="348"/>
        <v>0</v>
      </c>
      <c r="HL71" s="701" t="str">
        <f t="shared" si="432"/>
        <v/>
      </c>
      <c r="HM71" s="704" t="str">
        <f t="shared" si="349"/>
        <v/>
      </c>
      <c r="HN71" s="701">
        <f t="shared" si="350"/>
        <v>1</v>
      </c>
      <c r="HO71" s="128">
        <f t="shared" si="351"/>
        <v>0</v>
      </c>
      <c r="HP71" s="701" t="str">
        <f t="shared" si="433"/>
        <v/>
      </c>
      <c r="HQ71" s="704" t="str">
        <f t="shared" si="352"/>
        <v/>
      </c>
      <c r="HR71" s="701">
        <f t="shared" si="353"/>
        <v>1</v>
      </c>
      <c r="HS71" s="128">
        <f t="shared" si="354"/>
        <v>0</v>
      </c>
      <c r="HT71" s="701" t="str">
        <f t="shared" si="434"/>
        <v/>
      </c>
      <c r="HU71" s="704" t="str">
        <f t="shared" si="355"/>
        <v/>
      </c>
      <c r="HV71" s="701">
        <f t="shared" si="356"/>
        <v>1</v>
      </c>
      <c r="HW71" s="128">
        <f t="shared" si="357"/>
        <v>0</v>
      </c>
      <c r="HX71" s="701" t="str">
        <f t="shared" si="435"/>
        <v/>
      </c>
      <c r="HY71" s="704" t="str">
        <f t="shared" si="358"/>
        <v/>
      </c>
      <c r="HZ71" s="701">
        <f t="shared" si="359"/>
        <v>1</v>
      </c>
      <c r="IA71" s="128">
        <f t="shared" si="360"/>
        <v>0</v>
      </c>
      <c r="IB71" s="701" t="str">
        <f t="shared" si="436"/>
        <v/>
      </c>
      <c r="IC71" s="704" t="str">
        <f t="shared" si="361"/>
        <v/>
      </c>
      <c r="ID71" s="701">
        <f t="shared" si="362"/>
        <v>1</v>
      </c>
      <c r="IE71" s="128">
        <f t="shared" si="363"/>
        <v>0</v>
      </c>
      <c r="IF71" s="701" t="str">
        <f t="shared" si="437"/>
        <v/>
      </c>
      <c r="IG71" s="704" t="str">
        <f t="shared" si="364"/>
        <v/>
      </c>
      <c r="IH71" s="701">
        <f t="shared" si="365"/>
        <v>1</v>
      </c>
      <c r="II71" s="128">
        <f t="shared" si="366"/>
        <v>0</v>
      </c>
      <c r="IJ71" s="701" t="str">
        <f t="shared" si="438"/>
        <v/>
      </c>
      <c r="IK71" s="704" t="str">
        <f t="shared" si="367"/>
        <v/>
      </c>
      <c r="IL71" s="701">
        <f t="shared" si="368"/>
        <v>1</v>
      </c>
      <c r="IM71" s="128">
        <f t="shared" si="369"/>
        <v>0</v>
      </c>
      <c r="IN71" s="701" t="str">
        <f t="shared" si="439"/>
        <v/>
      </c>
      <c r="IO71" s="704" t="str">
        <f t="shared" si="370"/>
        <v/>
      </c>
      <c r="IP71" s="701">
        <f t="shared" si="371"/>
        <v>1</v>
      </c>
      <c r="IQ71" s="128">
        <f t="shared" si="372"/>
        <v>0</v>
      </c>
      <c r="IR71" s="701" t="str">
        <f t="shared" si="440"/>
        <v/>
      </c>
      <c r="IS71" s="704" t="str">
        <f t="shared" si="373"/>
        <v/>
      </c>
      <c r="IT71" s="701">
        <f t="shared" si="374"/>
        <v>1</v>
      </c>
      <c r="IU71" s="128">
        <f t="shared" si="375"/>
        <v>0</v>
      </c>
      <c r="IV71" s="701" t="str">
        <f t="shared" si="441"/>
        <v/>
      </c>
      <c r="IW71" s="704" t="str">
        <f t="shared" si="376"/>
        <v/>
      </c>
      <c r="IX71" s="701">
        <f t="shared" si="377"/>
        <v>1</v>
      </c>
      <c r="IY71" s="128">
        <f t="shared" si="378"/>
        <v>0</v>
      </c>
    </row>
    <row r="72" spans="3:259" s="2" customFormat="1" ht="13.3" thickTop="1" thickBot="1" x14ac:dyDescent="0.35">
      <c r="D72" s="1"/>
      <c r="E72" s="1"/>
      <c r="F72" s="1"/>
      <c r="G72" s="1"/>
      <c r="H72" s="1"/>
      <c r="J72" s="1"/>
      <c r="K72" s="1"/>
      <c r="L72" s="1"/>
      <c r="M72" s="1"/>
      <c r="N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T72" s="87" t="str">
        <f t="shared" si="443"/>
        <v/>
      </c>
      <c r="AU72" s="78" t="str">
        <f t="shared" si="445"/>
        <v/>
      </c>
      <c r="AV72" s="78" t="str">
        <f>IF($F43="","",IF($F43=$F$37,$AW$37,IF($F43=$F$38,$AW$38,IF($F43=$F$39,$AW$39,IF($F43=$F$40,$AW$40,IF($F43=$F$41,$AW$41,IF($F43=$F$42,$AW$42,IF($F43=$F$44,$AW$44,""))))))))</f>
        <v/>
      </c>
      <c r="AW72" s="78" t="str">
        <f t="shared" si="251"/>
        <v/>
      </c>
      <c r="AX72" s="239">
        <f t="shared" si="252"/>
        <v>0</v>
      </c>
      <c r="AY72" s="239" t="str">
        <f t="shared" si="253"/>
        <v/>
      </c>
      <c r="AZ72" s="214" t="str">
        <f t="shared" si="254"/>
        <v/>
      </c>
      <c r="BA72" s="214" t="str">
        <f t="shared" si="255"/>
        <v/>
      </c>
      <c r="BB72" s="214" t="str">
        <f t="shared" si="256"/>
        <v/>
      </c>
      <c r="BC72" s="214" t="str">
        <f t="shared" si="257"/>
        <v/>
      </c>
      <c r="BD72" s="1322">
        <f t="shared" si="379"/>
        <v>19</v>
      </c>
      <c r="BE72" s="1"/>
      <c r="BF72" s="214" t="str">
        <f t="shared" si="258"/>
        <v/>
      </c>
      <c r="BG72" s="94">
        <f t="shared" si="259"/>
        <v>0</v>
      </c>
      <c r="BH72" s="94">
        <f t="shared" si="260"/>
        <v>0</v>
      </c>
      <c r="BI72" s="94">
        <f t="shared" si="261"/>
        <v>0</v>
      </c>
      <c r="BJ72" s="237">
        <f t="shared" si="380"/>
        <v>0</v>
      </c>
      <c r="BK72" s="237">
        <f t="shared" si="262"/>
        <v>0</v>
      </c>
      <c r="BL72" s="237">
        <f t="shared" si="263"/>
        <v>0</v>
      </c>
      <c r="BM72" s="237">
        <f t="shared" si="264"/>
        <v>0</v>
      </c>
      <c r="BN72" s="237">
        <f t="shared" si="265"/>
        <v>0</v>
      </c>
      <c r="BO72" s="237">
        <f t="shared" si="266"/>
        <v>0</v>
      </c>
      <c r="BP72" s="237">
        <f t="shared" si="267"/>
        <v>0</v>
      </c>
      <c r="BQ72" s="237">
        <f t="shared" si="268"/>
        <v>0</v>
      </c>
      <c r="BR72" s="237">
        <f t="shared" si="269"/>
        <v>0</v>
      </c>
      <c r="BS72" s="237">
        <f t="shared" si="270"/>
        <v>0</v>
      </c>
      <c r="BT72" s="237">
        <f t="shared" si="381"/>
        <v>0</v>
      </c>
      <c r="BU72" s="237">
        <f t="shared" si="382"/>
        <v>0</v>
      </c>
      <c r="BV72" s="237">
        <f t="shared" si="383"/>
        <v>0</v>
      </c>
      <c r="BW72" s="237">
        <f t="shared" si="384"/>
        <v>0</v>
      </c>
      <c r="BX72" s="237">
        <f t="shared" si="385"/>
        <v>0</v>
      </c>
      <c r="BY72" s="237">
        <f t="shared" si="386"/>
        <v>0</v>
      </c>
      <c r="BZ72" s="237">
        <f t="shared" si="387"/>
        <v>0</v>
      </c>
      <c r="CA72" s="237">
        <f t="shared" si="388"/>
        <v>0</v>
      </c>
      <c r="CB72" s="237">
        <f t="shared" si="389"/>
        <v>0</v>
      </c>
      <c r="CC72" s="237">
        <f t="shared" si="390"/>
        <v>0</v>
      </c>
      <c r="CD72" s="237">
        <f t="shared" si="391"/>
        <v>0</v>
      </c>
      <c r="CE72" s="237">
        <f t="shared" si="392"/>
        <v>0</v>
      </c>
      <c r="CF72" s="237">
        <f t="shared" si="393"/>
        <v>0</v>
      </c>
      <c r="CG72" s="237">
        <f t="shared" si="394"/>
        <v>0</v>
      </c>
      <c r="CH72" s="237">
        <f t="shared" si="395"/>
        <v>0</v>
      </c>
      <c r="CI72" s="3"/>
      <c r="CJ72" s="3"/>
      <c r="CK72" s="1"/>
      <c r="CL72" s="1"/>
      <c r="CM72" s="1"/>
      <c r="CN72" s="1"/>
      <c r="CO72" s="1"/>
      <c r="CP72" s="1"/>
      <c r="CQ72" s="1"/>
      <c r="CR72" s="524">
        <f t="shared" si="396"/>
        <v>0</v>
      </c>
      <c r="CS72" s="1"/>
      <c r="CT72" s="495" t="str">
        <f t="shared" si="397"/>
        <v/>
      </c>
      <c r="CU72" s="496" t="str">
        <f t="shared" si="398"/>
        <v/>
      </c>
      <c r="CV72" s="496" t="str">
        <f t="shared" si="399"/>
        <v/>
      </c>
      <c r="CW72" s="1"/>
      <c r="CX72" s="1026" t="str">
        <f t="shared" si="271"/>
        <v/>
      </c>
      <c r="CY72" s="1026" t="str">
        <f t="shared" si="272"/>
        <v/>
      </c>
      <c r="CZ72" s="1473" t="str">
        <f t="shared" si="273"/>
        <v/>
      </c>
      <c r="DA72" s="1473" t="str">
        <f t="shared" si="274"/>
        <v/>
      </c>
      <c r="DB72" s="1474" t="str">
        <f t="shared" si="275"/>
        <v/>
      </c>
      <c r="DC72" s="1474" t="str">
        <f t="shared" si="276"/>
        <v/>
      </c>
      <c r="DD72" s="1473" t="str">
        <f t="shared" si="400"/>
        <v/>
      </c>
      <c r="DE72" s="1473" t="str">
        <f t="shared" si="401"/>
        <v/>
      </c>
      <c r="DF72" s="1476" t="str">
        <f t="shared" si="277"/>
        <v/>
      </c>
      <c r="DG72" s="1476" t="str">
        <f t="shared" si="278"/>
        <v/>
      </c>
      <c r="DJ72" s="93" t="str">
        <f t="shared" si="402"/>
        <v/>
      </c>
      <c r="DK72" s="93" t="str">
        <f t="shared" si="403"/>
        <v/>
      </c>
      <c r="DL72" s="93">
        <f t="shared" si="404"/>
        <v>0</v>
      </c>
      <c r="DM72" s="93" t="str">
        <f t="shared" si="279"/>
        <v/>
      </c>
      <c r="DN72" s="33">
        <v>19</v>
      </c>
      <c r="DO72" s="93" t="str">
        <f t="shared" si="280"/>
        <v/>
      </c>
      <c r="DP72" s="1"/>
      <c r="DQ72" s="33">
        <v>19</v>
      </c>
      <c r="DR72" s="1486" t="str">
        <f t="shared" si="405"/>
        <v/>
      </c>
      <c r="DS72" s="144" t="str">
        <f t="shared" si="281"/>
        <v/>
      </c>
      <c r="DT72" s="144" t="str">
        <f t="shared" si="282"/>
        <v/>
      </c>
      <c r="DU72" s="144" t="str">
        <f t="shared" si="283"/>
        <v/>
      </c>
      <c r="DV72" s="144" t="str">
        <f t="shared" si="284"/>
        <v/>
      </c>
      <c r="DW72" s="144" t="str">
        <f t="shared" si="285"/>
        <v/>
      </c>
      <c r="DX72" s="144" t="str">
        <f t="shared" si="286"/>
        <v/>
      </c>
      <c r="DY72" s="144" t="str">
        <f t="shared" si="287"/>
        <v/>
      </c>
      <c r="DZ72" s="144" t="str">
        <f t="shared" si="288"/>
        <v/>
      </c>
      <c r="EA72" s="144" t="str">
        <f t="shared" si="289"/>
        <v/>
      </c>
      <c r="EB72" s="144" t="str">
        <f t="shared" si="290"/>
        <v/>
      </c>
      <c r="EC72" s="144" t="str">
        <f t="shared" si="291"/>
        <v/>
      </c>
      <c r="ED72" s="144" t="str">
        <f t="shared" si="292"/>
        <v/>
      </c>
      <c r="EE72" s="144" t="str">
        <f t="shared" si="293"/>
        <v/>
      </c>
      <c r="EF72" s="144" t="str">
        <f t="shared" si="294"/>
        <v/>
      </c>
      <c r="EG72" s="144" t="str">
        <f t="shared" si="295"/>
        <v/>
      </c>
      <c r="EH72" s="144" t="str">
        <f t="shared" si="296"/>
        <v/>
      </c>
      <c r="EI72" s="144" t="str">
        <f t="shared" si="297"/>
        <v/>
      </c>
      <c r="EJ72" s="144" t="str">
        <f t="shared" si="298"/>
        <v/>
      </c>
      <c r="EK72" s="144" t="str">
        <f t="shared" si="299"/>
        <v/>
      </c>
      <c r="EL72" s="144" t="str">
        <f t="shared" si="300"/>
        <v/>
      </c>
      <c r="EM72" s="144" t="str">
        <f t="shared" si="301"/>
        <v/>
      </c>
      <c r="EN72" s="720" t="str">
        <f t="shared" si="302"/>
        <v/>
      </c>
      <c r="EO72" s="720" t="str">
        <f t="shared" si="303"/>
        <v/>
      </c>
      <c r="EP72" s="720" t="str">
        <f t="shared" si="304"/>
        <v/>
      </c>
      <c r="EQ72" s="720" t="str">
        <f t="shared" si="305"/>
        <v/>
      </c>
      <c r="ER72" s="720" t="str">
        <f t="shared" si="306"/>
        <v/>
      </c>
      <c r="ES72" s="1460">
        <f t="shared" si="406"/>
        <v>0</v>
      </c>
      <c r="ET72" s="201">
        <f t="shared" si="407"/>
        <v>26</v>
      </c>
      <c r="EU72" s="137" t="str">
        <f t="shared" si="408"/>
        <v/>
      </c>
      <c r="EV72" s="290" t="str">
        <f t="shared" si="307"/>
        <v/>
      </c>
      <c r="EW72" s="290" t="str">
        <f t="shared" si="308"/>
        <v/>
      </c>
      <c r="EX72" s="725" t="str">
        <f t="shared" si="309"/>
        <v/>
      </c>
      <c r="EY72" s="1322">
        <f t="shared" si="310"/>
        <v>0</v>
      </c>
      <c r="EZ72" s="201">
        <f t="shared" si="409"/>
        <v>25</v>
      </c>
      <c r="FA72" s="1467" t="str">
        <f t="shared" si="410"/>
        <v/>
      </c>
      <c r="FB72" s="216" t="str">
        <f t="shared" si="411"/>
        <v/>
      </c>
      <c r="FC72" s="795" t="str" cm="1">
        <f t="array" ref="FC72">IF($FB72="","",INDEX($H$25:$H$49,$DN43))</f>
        <v/>
      </c>
      <c r="FD72" s="234" t="str">
        <f t="shared" si="412"/>
        <v/>
      </c>
      <c r="FE72" s="90">
        <f t="shared" si="311"/>
        <v>0</v>
      </c>
      <c r="FF72" s="711" t="str">
        <f t="shared" si="413"/>
        <v/>
      </c>
      <c r="FG72" s="712" t="str">
        <f t="shared" si="413"/>
        <v/>
      </c>
      <c r="FH72" s="701" t="str">
        <f t="shared" si="444"/>
        <v/>
      </c>
      <c r="FI72" s="704" t="str">
        <f t="shared" si="312"/>
        <v/>
      </c>
      <c r="FJ72" s="701">
        <f t="shared" si="313"/>
        <v>1</v>
      </c>
      <c r="FK72" s="128">
        <f t="shared" si="414"/>
        <v>0</v>
      </c>
      <c r="FL72" s="701" t="str">
        <f t="shared" si="415"/>
        <v/>
      </c>
      <c r="FM72" s="704" t="str">
        <f t="shared" si="314"/>
        <v/>
      </c>
      <c r="FN72" s="701">
        <f t="shared" si="315"/>
        <v>1</v>
      </c>
      <c r="FO72" s="128">
        <f t="shared" si="316"/>
        <v>0</v>
      </c>
      <c r="FP72" s="701" t="str">
        <f t="shared" si="416"/>
        <v/>
      </c>
      <c r="FQ72" s="704" t="str">
        <f t="shared" si="317"/>
        <v/>
      </c>
      <c r="FR72" s="701">
        <f t="shared" si="417"/>
        <v>1</v>
      </c>
      <c r="FS72" s="128">
        <f t="shared" si="318"/>
        <v>0</v>
      </c>
      <c r="FT72" s="701" t="str">
        <f t="shared" si="418"/>
        <v/>
      </c>
      <c r="FU72" s="704" t="str">
        <f t="shared" si="319"/>
        <v/>
      </c>
      <c r="FV72" s="701">
        <f t="shared" si="419"/>
        <v>1</v>
      </c>
      <c r="FW72" s="128">
        <f t="shared" si="320"/>
        <v>0</v>
      </c>
      <c r="FX72" s="701" t="str">
        <f t="shared" si="420"/>
        <v/>
      </c>
      <c r="FY72" s="704" t="str">
        <f t="shared" si="321"/>
        <v/>
      </c>
      <c r="FZ72" s="701">
        <f t="shared" si="421"/>
        <v>1</v>
      </c>
      <c r="GA72" s="128">
        <f t="shared" si="322"/>
        <v>0</v>
      </c>
      <c r="GB72" s="701" t="str">
        <f t="shared" si="422"/>
        <v/>
      </c>
      <c r="GC72" s="704" t="str">
        <f t="shared" si="323"/>
        <v/>
      </c>
      <c r="GD72" s="701">
        <f t="shared" si="423"/>
        <v>1</v>
      </c>
      <c r="GE72" s="128">
        <f t="shared" si="324"/>
        <v>0</v>
      </c>
      <c r="GF72" s="701" t="str">
        <f t="shared" si="424"/>
        <v/>
      </c>
      <c r="GG72" s="704" t="str">
        <f t="shared" si="325"/>
        <v/>
      </c>
      <c r="GH72" s="701">
        <f t="shared" si="326"/>
        <v>1</v>
      </c>
      <c r="GI72" s="128">
        <f t="shared" si="327"/>
        <v>0</v>
      </c>
      <c r="GJ72" s="701" t="str">
        <f t="shared" si="425"/>
        <v/>
      </c>
      <c r="GK72" s="704" t="str">
        <f t="shared" si="328"/>
        <v/>
      </c>
      <c r="GL72" s="701">
        <f t="shared" si="329"/>
        <v>1</v>
      </c>
      <c r="GM72" s="128">
        <f t="shared" si="330"/>
        <v>0</v>
      </c>
      <c r="GN72" s="701" t="str">
        <f t="shared" si="426"/>
        <v/>
      </c>
      <c r="GO72" s="704" t="str">
        <f t="shared" si="331"/>
        <v/>
      </c>
      <c r="GP72" s="701">
        <f t="shared" si="332"/>
        <v>1</v>
      </c>
      <c r="GQ72" s="128">
        <f t="shared" si="333"/>
        <v>0</v>
      </c>
      <c r="GR72" s="701" t="str">
        <f t="shared" si="427"/>
        <v/>
      </c>
      <c r="GS72" s="704" t="str">
        <f t="shared" si="334"/>
        <v/>
      </c>
      <c r="GT72" s="701">
        <f t="shared" si="335"/>
        <v>1</v>
      </c>
      <c r="GU72" s="128">
        <f t="shared" si="336"/>
        <v>0</v>
      </c>
      <c r="GV72" s="701" t="str">
        <f t="shared" si="428"/>
        <v/>
      </c>
      <c r="GW72" s="704" t="str">
        <f t="shared" si="337"/>
        <v/>
      </c>
      <c r="GX72" s="701">
        <f t="shared" si="338"/>
        <v>1</v>
      </c>
      <c r="GY72" s="128">
        <f t="shared" si="339"/>
        <v>0</v>
      </c>
      <c r="GZ72" s="701" t="str">
        <f t="shared" si="429"/>
        <v/>
      </c>
      <c r="HA72" s="704" t="str">
        <f t="shared" si="340"/>
        <v/>
      </c>
      <c r="HB72" s="701">
        <f t="shared" si="341"/>
        <v>1</v>
      </c>
      <c r="HC72" s="128">
        <f t="shared" si="342"/>
        <v>0</v>
      </c>
      <c r="HD72" s="701" t="str">
        <f t="shared" si="430"/>
        <v/>
      </c>
      <c r="HE72" s="704" t="str">
        <f t="shared" si="343"/>
        <v/>
      </c>
      <c r="HF72" s="701">
        <f t="shared" si="344"/>
        <v>1</v>
      </c>
      <c r="HG72" s="128">
        <f t="shared" si="345"/>
        <v>0</v>
      </c>
      <c r="HH72" s="701" t="str">
        <f t="shared" si="431"/>
        <v/>
      </c>
      <c r="HI72" s="704" t="str">
        <f t="shared" si="346"/>
        <v/>
      </c>
      <c r="HJ72" s="701">
        <f t="shared" si="347"/>
        <v>1</v>
      </c>
      <c r="HK72" s="128">
        <f t="shared" si="348"/>
        <v>0</v>
      </c>
      <c r="HL72" s="701" t="str">
        <f t="shared" si="432"/>
        <v/>
      </c>
      <c r="HM72" s="704" t="str">
        <f t="shared" si="349"/>
        <v/>
      </c>
      <c r="HN72" s="701">
        <f t="shared" si="350"/>
        <v>1</v>
      </c>
      <c r="HO72" s="128">
        <f t="shared" si="351"/>
        <v>0</v>
      </c>
      <c r="HP72" s="701" t="str">
        <f t="shared" si="433"/>
        <v/>
      </c>
      <c r="HQ72" s="704" t="str">
        <f t="shared" si="352"/>
        <v/>
      </c>
      <c r="HR72" s="701">
        <f t="shared" si="353"/>
        <v>1</v>
      </c>
      <c r="HS72" s="128">
        <f t="shared" si="354"/>
        <v>0</v>
      </c>
      <c r="HT72" s="701" t="str">
        <f t="shared" si="434"/>
        <v/>
      </c>
      <c r="HU72" s="704" t="str">
        <f t="shared" si="355"/>
        <v/>
      </c>
      <c r="HV72" s="701">
        <f t="shared" si="356"/>
        <v>1</v>
      </c>
      <c r="HW72" s="128">
        <f t="shared" si="357"/>
        <v>0</v>
      </c>
      <c r="HX72" s="701" t="str">
        <f t="shared" si="435"/>
        <v/>
      </c>
      <c r="HY72" s="704" t="str">
        <f t="shared" si="358"/>
        <v/>
      </c>
      <c r="HZ72" s="701">
        <f t="shared" si="359"/>
        <v>1</v>
      </c>
      <c r="IA72" s="128">
        <f t="shared" si="360"/>
        <v>0</v>
      </c>
      <c r="IB72" s="701" t="str">
        <f t="shared" si="436"/>
        <v/>
      </c>
      <c r="IC72" s="704" t="str">
        <f t="shared" si="361"/>
        <v/>
      </c>
      <c r="ID72" s="701">
        <f t="shared" si="362"/>
        <v>1</v>
      </c>
      <c r="IE72" s="128">
        <f t="shared" si="363"/>
        <v>0</v>
      </c>
      <c r="IF72" s="701" t="str">
        <f t="shared" si="437"/>
        <v/>
      </c>
      <c r="IG72" s="704" t="str">
        <f t="shared" si="364"/>
        <v/>
      </c>
      <c r="IH72" s="701">
        <f t="shared" si="365"/>
        <v>1</v>
      </c>
      <c r="II72" s="128">
        <f t="shared" si="366"/>
        <v>0</v>
      </c>
      <c r="IJ72" s="701" t="str">
        <f t="shared" si="438"/>
        <v/>
      </c>
      <c r="IK72" s="704" t="str">
        <f t="shared" si="367"/>
        <v/>
      </c>
      <c r="IL72" s="701">
        <f t="shared" si="368"/>
        <v>1</v>
      </c>
      <c r="IM72" s="128">
        <f t="shared" si="369"/>
        <v>0</v>
      </c>
      <c r="IN72" s="701" t="str">
        <f t="shared" si="439"/>
        <v/>
      </c>
      <c r="IO72" s="704" t="str">
        <f t="shared" si="370"/>
        <v/>
      </c>
      <c r="IP72" s="701">
        <f t="shared" si="371"/>
        <v>1</v>
      </c>
      <c r="IQ72" s="128">
        <f t="shared" si="372"/>
        <v>0</v>
      </c>
      <c r="IR72" s="701" t="str">
        <f t="shared" si="440"/>
        <v/>
      </c>
      <c r="IS72" s="704" t="str">
        <f t="shared" si="373"/>
        <v/>
      </c>
      <c r="IT72" s="701">
        <f t="shared" si="374"/>
        <v>1</v>
      </c>
      <c r="IU72" s="128">
        <f t="shared" si="375"/>
        <v>0</v>
      </c>
      <c r="IV72" s="701" t="str">
        <f t="shared" si="441"/>
        <v/>
      </c>
      <c r="IW72" s="704" t="str">
        <f t="shared" si="376"/>
        <v/>
      </c>
      <c r="IX72" s="701">
        <f t="shared" si="377"/>
        <v>1</v>
      </c>
      <c r="IY72" s="128">
        <f t="shared" si="378"/>
        <v>0</v>
      </c>
    </row>
    <row r="73" spans="3:259" s="2" customFormat="1" ht="13.3" thickTop="1" thickBot="1" x14ac:dyDescent="0.35">
      <c r="D73" s="1"/>
      <c r="E73" s="1"/>
      <c r="F73" s="1"/>
      <c r="G73" s="1"/>
      <c r="H73" s="1"/>
      <c r="J73" s="1"/>
      <c r="K73" s="1"/>
      <c r="L73" s="1"/>
      <c r="M73" s="1"/>
      <c r="N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T73" s="87" t="str">
        <f t="shared" si="443"/>
        <v/>
      </c>
      <c r="AU73" s="78" t="str">
        <f t="shared" si="445"/>
        <v/>
      </c>
      <c r="AV73" s="78" t="str">
        <f t="shared" ref="AV73:AV78" si="446">IF($F44="","",IF($F44=$F$37,$AW$37,IF($F44=$F$38,$AW$38,IF($F44=$F$39,$AW$39,IF($F44=$F$40,$AW$40,IF($F44=$F$41,$AW$41,IF($F44=$F$42,$AW$42,IF($F44=$F$43,$AW$43,""))))))))</f>
        <v/>
      </c>
      <c r="AW73" s="78" t="str">
        <f t="shared" si="251"/>
        <v/>
      </c>
      <c r="AX73" s="239">
        <f t="shared" si="252"/>
        <v>0</v>
      </c>
      <c r="AY73" s="239" t="str">
        <f t="shared" si="253"/>
        <v/>
      </c>
      <c r="AZ73" s="214" t="str">
        <f t="shared" si="254"/>
        <v/>
      </c>
      <c r="BA73" s="214" t="str">
        <f t="shared" si="255"/>
        <v/>
      </c>
      <c r="BB73" s="214" t="str">
        <f t="shared" si="256"/>
        <v/>
      </c>
      <c r="BC73" s="214" t="str">
        <f t="shared" si="257"/>
        <v/>
      </c>
      <c r="BD73" s="1322">
        <f t="shared" si="379"/>
        <v>20</v>
      </c>
      <c r="BE73" s="1"/>
      <c r="BF73" s="214" t="str">
        <f t="shared" si="258"/>
        <v/>
      </c>
      <c r="BG73" s="94">
        <f t="shared" si="259"/>
        <v>0</v>
      </c>
      <c r="BH73" s="94">
        <f t="shared" si="260"/>
        <v>0</v>
      </c>
      <c r="BI73" s="94">
        <f t="shared" si="261"/>
        <v>0</v>
      </c>
      <c r="BJ73" s="237">
        <f t="shared" si="380"/>
        <v>0</v>
      </c>
      <c r="BK73" s="237">
        <f t="shared" si="262"/>
        <v>0</v>
      </c>
      <c r="BL73" s="237">
        <f t="shared" si="263"/>
        <v>0</v>
      </c>
      <c r="BM73" s="237">
        <f t="shared" si="264"/>
        <v>0</v>
      </c>
      <c r="BN73" s="237">
        <f t="shared" si="265"/>
        <v>0</v>
      </c>
      <c r="BO73" s="237">
        <f t="shared" si="266"/>
        <v>0</v>
      </c>
      <c r="BP73" s="237">
        <f t="shared" si="267"/>
        <v>0</v>
      </c>
      <c r="BQ73" s="237">
        <f t="shared" si="268"/>
        <v>0</v>
      </c>
      <c r="BR73" s="237">
        <f t="shared" si="269"/>
        <v>0</v>
      </c>
      <c r="BS73" s="237">
        <f t="shared" si="270"/>
        <v>0</v>
      </c>
      <c r="BT73" s="237">
        <f t="shared" si="381"/>
        <v>0</v>
      </c>
      <c r="BU73" s="237">
        <f t="shared" si="382"/>
        <v>0</v>
      </c>
      <c r="BV73" s="237">
        <f t="shared" si="383"/>
        <v>0</v>
      </c>
      <c r="BW73" s="237">
        <f t="shared" si="384"/>
        <v>0</v>
      </c>
      <c r="BX73" s="237">
        <f t="shared" si="385"/>
        <v>0</v>
      </c>
      <c r="BY73" s="237">
        <f t="shared" si="386"/>
        <v>0</v>
      </c>
      <c r="BZ73" s="237">
        <f t="shared" si="387"/>
        <v>0</v>
      </c>
      <c r="CA73" s="237">
        <f t="shared" si="388"/>
        <v>0</v>
      </c>
      <c r="CB73" s="237">
        <f t="shared" si="389"/>
        <v>0</v>
      </c>
      <c r="CC73" s="237">
        <f t="shared" si="390"/>
        <v>0</v>
      </c>
      <c r="CD73" s="237">
        <f t="shared" si="391"/>
        <v>0</v>
      </c>
      <c r="CE73" s="237">
        <f t="shared" si="392"/>
        <v>0</v>
      </c>
      <c r="CF73" s="237">
        <f t="shared" si="393"/>
        <v>0</v>
      </c>
      <c r="CG73" s="237">
        <f t="shared" si="394"/>
        <v>0</v>
      </c>
      <c r="CH73" s="237">
        <f t="shared" si="395"/>
        <v>0</v>
      </c>
      <c r="CI73" s="3"/>
      <c r="CJ73" s="3"/>
      <c r="CK73" s="1"/>
      <c r="CL73" s="1"/>
      <c r="CM73" s="1"/>
      <c r="CN73" s="1"/>
      <c r="CO73" s="1"/>
      <c r="CP73" s="1"/>
      <c r="CQ73" s="1"/>
      <c r="CR73" s="524">
        <f t="shared" si="396"/>
        <v>0</v>
      </c>
      <c r="CT73" s="495" t="str">
        <f t="shared" si="397"/>
        <v/>
      </c>
      <c r="CU73" s="496" t="str">
        <f t="shared" si="398"/>
        <v/>
      </c>
      <c r="CV73" s="496" t="str">
        <f t="shared" si="399"/>
        <v/>
      </c>
      <c r="CW73" s="1"/>
      <c r="CX73" s="1026" t="str">
        <f t="shared" si="271"/>
        <v/>
      </c>
      <c r="CY73" s="1026" t="str">
        <f t="shared" si="272"/>
        <v/>
      </c>
      <c r="CZ73" s="1473" t="str">
        <f t="shared" si="273"/>
        <v/>
      </c>
      <c r="DA73" s="1473" t="str">
        <f t="shared" si="274"/>
        <v/>
      </c>
      <c r="DB73" s="1474" t="str">
        <f t="shared" si="275"/>
        <v/>
      </c>
      <c r="DC73" s="1474" t="str">
        <f t="shared" si="276"/>
        <v/>
      </c>
      <c r="DD73" s="1473" t="str">
        <f t="shared" si="400"/>
        <v/>
      </c>
      <c r="DE73" s="1473" t="str">
        <f t="shared" si="401"/>
        <v/>
      </c>
      <c r="DF73" s="1476" t="str">
        <f t="shared" si="277"/>
        <v/>
      </c>
      <c r="DG73" s="1476" t="str">
        <f t="shared" si="278"/>
        <v/>
      </c>
      <c r="DJ73" s="93" t="str">
        <f t="shared" si="402"/>
        <v/>
      </c>
      <c r="DK73" s="93" t="str">
        <f t="shared" si="403"/>
        <v/>
      </c>
      <c r="DL73" s="93">
        <f t="shared" si="404"/>
        <v>0</v>
      </c>
      <c r="DM73" s="93" t="str">
        <f t="shared" si="279"/>
        <v/>
      </c>
      <c r="DN73" s="33">
        <v>20</v>
      </c>
      <c r="DO73" s="93" t="str">
        <f t="shared" si="280"/>
        <v/>
      </c>
      <c r="DP73" s="1"/>
      <c r="DQ73" s="33">
        <v>20</v>
      </c>
      <c r="DR73" s="1486" t="str">
        <f t="shared" si="405"/>
        <v/>
      </c>
      <c r="DS73" s="144" t="str">
        <f t="shared" si="281"/>
        <v/>
      </c>
      <c r="DT73" s="144" t="str">
        <f t="shared" si="282"/>
        <v/>
      </c>
      <c r="DU73" s="144" t="str">
        <f t="shared" si="283"/>
        <v/>
      </c>
      <c r="DV73" s="144" t="str">
        <f t="shared" si="284"/>
        <v/>
      </c>
      <c r="DW73" s="144" t="str">
        <f t="shared" si="285"/>
        <v/>
      </c>
      <c r="DX73" s="144" t="str">
        <f t="shared" si="286"/>
        <v/>
      </c>
      <c r="DY73" s="144" t="str">
        <f t="shared" si="287"/>
        <v/>
      </c>
      <c r="DZ73" s="144" t="str">
        <f t="shared" si="288"/>
        <v/>
      </c>
      <c r="EA73" s="144" t="str">
        <f t="shared" si="289"/>
        <v/>
      </c>
      <c r="EB73" s="144" t="str">
        <f t="shared" si="290"/>
        <v/>
      </c>
      <c r="EC73" s="144" t="str">
        <f t="shared" si="291"/>
        <v/>
      </c>
      <c r="ED73" s="144" t="str">
        <f t="shared" si="292"/>
        <v/>
      </c>
      <c r="EE73" s="144" t="str">
        <f t="shared" si="293"/>
        <v/>
      </c>
      <c r="EF73" s="144" t="str">
        <f t="shared" si="294"/>
        <v/>
      </c>
      <c r="EG73" s="144" t="str">
        <f t="shared" si="295"/>
        <v/>
      </c>
      <c r="EH73" s="144" t="str">
        <f t="shared" si="296"/>
        <v/>
      </c>
      <c r="EI73" s="144" t="str">
        <f t="shared" si="297"/>
        <v/>
      </c>
      <c r="EJ73" s="144" t="str">
        <f t="shared" si="298"/>
        <v/>
      </c>
      <c r="EK73" s="144" t="str">
        <f t="shared" si="299"/>
        <v/>
      </c>
      <c r="EL73" s="144" t="str">
        <f t="shared" si="300"/>
        <v/>
      </c>
      <c r="EM73" s="144" t="str">
        <f t="shared" si="301"/>
        <v/>
      </c>
      <c r="EN73" s="720" t="str">
        <f t="shared" si="302"/>
        <v/>
      </c>
      <c r="EO73" s="720" t="str">
        <f t="shared" si="303"/>
        <v/>
      </c>
      <c r="EP73" s="720" t="str">
        <f t="shared" si="304"/>
        <v/>
      </c>
      <c r="EQ73" s="720" t="str">
        <f t="shared" si="305"/>
        <v/>
      </c>
      <c r="ER73" s="720" t="str">
        <f t="shared" si="306"/>
        <v/>
      </c>
      <c r="ES73" s="1460">
        <f t="shared" si="406"/>
        <v>0</v>
      </c>
      <c r="ET73" s="201">
        <f t="shared" si="407"/>
        <v>26</v>
      </c>
      <c r="EU73" s="137" t="str">
        <f t="shared" si="408"/>
        <v/>
      </c>
      <c r="EV73" s="290" t="str">
        <f t="shared" si="307"/>
        <v/>
      </c>
      <c r="EW73" s="290" t="str">
        <f t="shared" si="308"/>
        <v/>
      </c>
      <c r="EX73" s="725" t="str">
        <f t="shared" si="309"/>
        <v/>
      </c>
      <c r="EY73" s="1322">
        <f t="shared" si="310"/>
        <v>0</v>
      </c>
      <c r="EZ73" s="201">
        <f t="shared" si="409"/>
        <v>25</v>
      </c>
      <c r="FA73" s="1467" t="str">
        <f t="shared" si="410"/>
        <v/>
      </c>
      <c r="FB73" s="216" t="str">
        <f t="shared" si="411"/>
        <v/>
      </c>
      <c r="FC73" s="795" t="str" cm="1">
        <f t="array" ref="FC73">IF($FB73="","",INDEX($H$25:$H$49,$DN44))</f>
        <v/>
      </c>
      <c r="FD73" s="234" t="str">
        <f t="shared" si="412"/>
        <v/>
      </c>
      <c r="FE73" s="90">
        <f t="shared" si="311"/>
        <v>0</v>
      </c>
      <c r="FF73" s="711" t="str">
        <f t="shared" si="413"/>
        <v/>
      </c>
      <c r="FG73" s="712" t="str">
        <f t="shared" si="413"/>
        <v/>
      </c>
      <c r="FH73" s="701" t="str">
        <f t="shared" si="444"/>
        <v/>
      </c>
      <c r="FI73" s="704" t="str">
        <f t="shared" si="312"/>
        <v/>
      </c>
      <c r="FJ73" s="701">
        <f t="shared" si="313"/>
        <v>1</v>
      </c>
      <c r="FK73" s="128">
        <f t="shared" si="414"/>
        <v>0</v>
      </c>
      <c r="FL73" s="701" t="str">
        <f t="shared" si="415"/>
        <v/>
      </c>
      <c r="FM73" s="704" t="str">
        <f t="shared" si="314"/>
        <v/>
      </c>
      <c r="FN73" s="701">
        <f t="shared" si="315"/>
        <v>1</v>
      </c>
      <c r="FO73" s="128">
        <f t="shared" si="316"/>
        <v>0</v>
      </c>
      <c r="FP73" s="701" t="str">
        <f t="shared" si="416"/>
        <v/>
      </c>
      <c r="FQ73" s="704" t="str">
        <f t="shared" si="317"/>
        <v/>
      </c>
      <c r="FR73" s="701">
        <f t="shared" si="417"/>
        <v>1</v>
      </c>
      <c r="FS73" s="128">
        <f t="shared" si="318"/>
        <v>0</v>
      </c>
      <c r="FT73" s="701" t="str">
        <f t="shared" si="418"/>
        <v/>
      </c>
      <c r="FU73" s="704" t="str">
        <f t="shared" si="319"/>
        <v/>
      </c>
      <c r="FV73" s="701">
        <f t="shared" si="419"/>
        <v>1</v>
      </c>
      <c r="FW73" s="128">
        <f t="shared" si="320"/>
        <v>0</v>
      </c>
      <c r="FX73" s="701" t="str">
        <f t="shared" si="420"/>
        <v/>
      </c>
      <c r="FY73" s="704" t="str">
        <f t="shared" si="321"/>
        <v/>
      </c>
      <c r="FZ73" s="701">
        <f t="shared" si="421"/>
        <v>1</v>
      </c>
      <c r="GA73" s="128">
        <f t="shared" si="322"/>
        <v>0</v>
      </c>
      <c r="GB73" s="701" t="str">
        <f t="shared" si="422"/>
        <v/>
      </c>
      <c r="GC73" s="704" t="str">
        <f t="shared" si="323"/>
        <v/>
      </c>
      <c r="GD73" s="701">
        <f t="shared" si="423"/>
        <v>1</v>
      </c>
      <c r="GE73" s="128">
        <f t="shared" si="324"/>
        <v>0</v>
      </c>
      <c r="GF73" s="701" t="str">
        <f t="shared" si="424"/>
        <v/>
      </c>
      <c r="GG73" s="704" t="str">
        <f t="shared" si="325"/>
        <v/>
      </c>
      <c r="GH73" s="701">
        <f t="shared" si="326"/>
        <v>1</v>
      </c>
      <c r="GI73" s="128">
        <f t="shared" si="327"/>
        <v>0</v>
      </c>
      <c r="GJ73" s="701" t="str">
        <f t="shared" si="425"/>
        <v/>
      </c>
      <c r="GK73" s="704" t="str">
        <f t="shared" si="328"/>
        <v/>
      </c>
      <c r="GL73" s="701">
        <f t="shared" si="329"/>
        <v>1</v>
      </c>
      <c r="GM73" s="128">
        <f t="shared" si="330"/>
        <v>0</v>
      </c>
      <c r="GN73" s="701" t="str">
        <f t="shared" si="426"/>
        <v/>
      </c>
      <c r="GO73" s="704" t="str">
        <f t="shared" si="331"/>
        <v/>
      </c>
      <c r="GP73" s="701">
        <f t="shared" si="332"/>
        <v>1</v>
      </c>
      <c r="GQ73" s="128">
        <f t="shared" si="333"/>
        <v>0</v>
      </c>
      <c r="GR73" s="701" t="str">
        <f t="shared" si="427"/>
        <v/>
      </c>
      <c r="GS73" s="704" t="str">
        <f t="shared" si="334"/>
        <v/>
      </c>
      <c r="GT73" s="701">
        <f t="shared" si="335"/>
        <v>1</v>
      </c>
      <c r="GU73" s="128">
        <f t="shared" si="336"/>
        <v>0</v>
      </c>
      <c r="GV73" s="701" t="str">
        <f t="shared" si="428"/>
        <v/>
      </c>
      <c r="GW73" s="704" t="str">
        <f t="shared" si="337"/>
        <v/>
      </c>
      <c r="GX73" s="701">
        <f t="shared" si="338"/>
        <v>1</v>
      </c>
      <c r="GY73" s="128">
        <f t="shared" si="339"/>
        <v>0</v>
      </c>
      <c r="GZ73" s="701" t="str">
        <f t="shared" si="429"/>
        <v/>
      </c>
      <c r="HA73" s="704" t="str">
        <f t="shared" si="340"/>
        <v/>
      </c>
      <c r="HB73" s="701">
        <f t="shared" si="341"/>
        <v>1</v>
      </c>
      <c r="HC73" s="128">
        <f t="shared" si="342"/>
        <v>0</v>
      </c>
      <c r="HD73" s="701" t="str">
        <f t="shared" si="430"/>
        <v/>
      </c>
      <c r="HE73" s="704" t="str">
        <f t="shared" si="343"/>
        <v/>
      </c>
      <c r="HF73" s="701">
        <f t="shared" si="344"/>
        <v>1</v>
      </c>
      <c r="HG73" s="128">
        <f t="shared" si="345"/>
        <v>0</v>
      </c>
      <c r="HH73" s="701" t="str">
        <f t="shared" si="431"/>
        <v/>
      </c>
      <c r="HI73" s="704" t="str">
        <f t="shared" si="346"/>
        <v/>
      </c>
      <c r="HJ73" s="701">
        <f t="shared" si="347"/>
        <v>1</v>
      </c>
      <c r="HK73" s="128">
        <f t="shared" si="348"/>
        <v>0</v>
      </c>
      <c r="HL73" s="701" t="str">
        <f t="shared" si="432"/>
        <v/>
      </c>
      <c r="HM73" s="704" t="str">
        <f t="shared" si="349"/>
        <v/>
      </c>
      <c r="HN73" s="701">
        <f t="shared" si="350"/>
        <v>1</v>
      </c>
      <c r="HO73" s="128">
        <f t="shared" si="351"/>
        <v>0</v>
      </c>
      <c r="HP73" s="701" t="str">
        <f t="shared" si="433"/>
        <v/>
      </c>
      <c r="HQ73" s="704" t="str">
        <f t="shared" si="352"/>
        <v/>
      </c>
      <c r="HR73" s="701">
        <f t="shared" si="353"/>
        <v>1</v>
      </c>
      <c r="HS73" s="128">
        <f t="shared" si="354"/>
        <v>0</v>
      </c>
      <c r="HT73" s="701" t="str">
        <f t="shared" si="434"/>
        <v/>
      </c>
      <c r="HU73" s="704" t="str">
        <f t="shared" si="355"/>
        <v/>
      </c>
      <c r="HV73" s="701">
        <f t="shared" si="356"/>
        <v>1</v>
      </c>
      <c r="HW73" s="128">
        <f t="shared" si="357"/>
        <v>0</v>
      </c>
      <c r="HX73" s="701" t="str">
        <f t="shared" si="435"/>
        <v/>
      </c>
      <c r="HY73" s="704" t="str">
        <f t="shared" si="358"/>
        <v/>
      </c>
      <c r="HZ73" s="701">
        <f t="shared" si="359"/>
        <v>1</v>
      </c>
      <c r="IA73" s="128">
        <f t="shared" si="360"/>
        <v>0</v>
      </c>
      <c r="IB73" s="701" t="str">
        <f t="shared" si="436"/>
        <v/>
      </c>
      <c r="IC73" s="704" t="str">
        <f t="shared" si="361"/>
        <v/>
      </c>
      <c r="ID73" s="701">
        <f t="shared" si="362"/>
        <v>1</v>
      </c>
      <c r="IE73" s="128">
        <f t="shared" si="363"/>
        <v>0</v>
      </c>
      <c r="IF73" s="701" t="str">
        <f t="shared" si="437"/>
        <v/>
      </c>
      <c r="IG73" s="704" t="str">
        <f t="shared" si="364"/>
        <v/>
      </c>
      <c r="IH73" s="701">
        <f t="shared" si="365"/>
        <v>1</v>
      </c>
      <c r="II73" s="128">
        <f t="shared" si="366"/>
        <v>0</v>
      </c>
      <c r="IJ73" s="701" t="str">
        <f t="shared" si="438"/>
        <v/>
      </c>
      <c r="IK73" s="704" t="str">
        <f t="shared" si="367"/>
        <v/>
      </c>
      <c r="IL73" s="701">
        <f t="shared" si="368"/>
        <v>1</v>
      </c>
      <c r="IM73" s="128">
        <f t="shared" si="369"/>
        <v>0</v>
      </c>
      <c r="IN73" s="701" t="str">
        <f t="shared" si="439"/>
        <v/>
      </c>
      <c r="IO73" s="704" t="str">
        <f t="shared" si="370"/>
        <v/>
      </c>
      <c r="IP73" s="701">
        <f t="shared" si="371"/>
        <v>1</v>
      </c>
      <c r="IQ73" s="128">
        <f t="shared" si="372"/>
        <v>0</v>
      </c>
      <c r="IR73" s="701" t="str">
        <f t="shared" si="440"/>
        <v/>
      </c>
      <c r="IS73" s="704" t="str">
        <f t="shared" si="373"/>
        <v/>
      </c>
      <c r="IT73" s="701">
        <f t="shared" si="374"/>
        <v>1</v>
      </c>
      <c r="IU73" s="128">
        <f t="shared" si="375"/>
        <v>0</v>
      </c>
      <c r="IV73" s="701" t="str">
        <f t="shared" si="441"/>
        <v/>
      </c>
      <c r="IW73" s="704" t="str">
        <f t="shared" si="376"/>
        <v/>
      </c>
      <c r="IX73" s="701">
        <f t="shared" si="377"/>
        <v>1</v>
      </c>
      <c r="IY73" s="128">
        <f t="shared" si="378"/>
        <v>0</v>
      </c>
    </row>
    <row r="74" spans="3:259" s="2" customFormat="1" ht="13.3" thickTop="1" thickBot="1" x14ac:dyDescent="0.35">
      <c r="D74" s="1"/>
      <c r="E74" s="1"/>
      <c r="F74" s="1"/>
      <c r="G74" s="1"/>
      <c r="H74" s="1"/>
      <c r="J74" s="1"/>
      <c r="K74" s="1"/>
      <c r="L74" s="1"/>
      <c r="M74" s="1"/>
      <c r="N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T74" s="87" t="str">
        <f t="shared" si="443"/>
        <v/>
      </c>
      <c r="AU74" s="78" t="str">
        <f t="shared" si="445"/>
        <v/>
      </c>
      <c r="AV74" s="78" t="str">
        <f t="shared" si="446"/>
        <v/>
      </c>
      <c r="AW74" s="78" t="str">
        <f t="shared" si="251"/>
        <v/>
      </c>
      <c r="AX74" s="239">
        <f t="shared" si="252"/>
        <v>0</v>
      </c>
      <c r="AY74" s="239" t="str">
        <f t="shared" si="253"/>
        <v/>
      </c>
      <c r="AZ74" s="214" t="str">
        <f t="shared" si="254"/>
        <v/>
      </c>
      <c r="BA74" s="214" t="str">
        <f t="shared" si="255"/>
        <v/>
      </c>
      <c r="BB74" s="214" t="str">
        <f t="shared" si="256"/>
        <v/>
      </c>
      <c r="BC74" s="214" t="str">
        <f t="shared" si="257"/>
        <v/>
      </c>
      <c r="BD74" s="1322">
        <f t="shared" si="379"/>
        <v>21</v>
      </c>
      <c r="BE74" s="1"/>
      <c r="BF74" s="214" t="str">
        <f t="shared" si="258"/>
        <v/>
      </c>
      <c r="BG74" s="94">
        <f t="shared" si="259"/>
        <v>0</v>
      </c>
      <c r="BH74" s="94">
        <f t="shared" si="260"/>
        <v>0</v>
      </c>
      <c r="BI74" s="94">
        <f t="shared" si="261"/>
        <v>0</v>
      </c>
      <c r="BJ74" s="237">
        <f t="shared" si="380"/>
        <v>0</v>
      </c>
      <c r="BK74" s="237">
        <f t="shared" si="262"/>
        <v>0</v>
      </c>
      <c r="BL74" s="237">
        <f t="shared" si="263"/>
        <v>0</v>
      </c>
      <c r="BM74" s="237">
        <f t="shared" si="264"/>
        <v>0</v>
      </c>
      <c r="BN74" s="237">
        <f t="shared" si="265"/>
        <v>0</v>
      </c>
      <c r="BO74" s="237">
        <f t="shared" si="266"/>
        <v>0</v>
      </c>
      <c r="BP74" s="237">
        <f t="shared" si="267"/>
        <v>0</v>
      </c>
      <c r="BQ74" s="237">
        <f t="shared" si="268"/>
        <v>0</v>
      </c>
      <c r="BR74" s="237">
        <f t="shared" si="269"/>
        <v>0</v>
      </c>
      <c r="BS74" s="237">
        <f t="shared" si="270"/>
        <v>0</v>
      </c>
      <c r="BT74" s="237">
        <f t="shared" si="381"/>
        <v>0</v>
      </c>
      <c r="BU74" s="237">
        <f t="shared" si="382"/>
        <v>0</v>
      </c>
      <c r="BV74" s="237">
        <f t="shared" si="383"/>
        <v>0</v>
      </c>
      <c r="BW74" s="237">
        <f t="shared" si="384"/>
        <v>0</v>
      </c>
      <c r="BX74" s="237">
        <f t="shared" si="385"/>
        <v>0</v>
      </c>
      <c r="BY74" s="237">
        <f t="shared" si="386"/>
        <v>0</v>
      </c>
      <c r="BZ74" s="237">
        <f t="shared" si="387"/>
        <v>0</v>
      </c>
      <c r="CA74" s="237">
        <f t="shared" si="388"/>
        <v>0</v>
      </c>
      <c r="CB74" s="237">
        <f t="shared" si="389"/>
        <v>0</v>
      </c>
      <c r="CC74" s="237">
        <f t="shared" si="390"/>
        <v>0</v>
      </c>
      <c r="CD74" s="237">
        <f t="shared" si="391"/>
        <v>0</v>
      </c>
      <c r="CE74" s="237">
        <f t="shared" si="392"/>
        <v>0</v>
      </c>
      <c r="CF74" s="237">
        <f t="shared" si="393"/>
        <v>0</v>
      </c>
      <c r="CG74" s="237">
        <f t="shared" si="394"/>
        <v>0</v>
      </c>
      <c r="CH74" s="237">
        <f t="shared" si="395"/>
        <v>0</v>
      </c>
      <c r="CI74" s="3"/>
      <c r="CJ74" s="3"/>
      <c r="CK74" s="1"/>
      <c r="CL74" s="1"/>
      <c r="CM74" s="1"/>
      <c r="CN74" s="1"/>
      <c r="CO74" s="1"/>
      <c r="CP74" s="1"/>
      <c r="CQ74" s="1"/>
      <c r="CR74" s="524">
        <f t="shared" si="396"/>
        <v>0</v>
      </c>
      <c r="CT74" s="495" t="str">
        <f t="shared" si="397"/>
        <v/>
      </c>
      <c r="CU74" s="496" t="str">
        <f t="shared" si="398"/>
        <v/>
      </c>
      <c r="CV74" s="496" t="str">
        <f t="shared" si="399"/>
        <v/>
      </c>
      <c r="CW74" s="1"/>
      <c r="CX74" s="1026" t="str">
        <f t="shared" si="271"/>
        <v/>
      </c>
      <c r="CY74" s="1026" t="str">
        <f t="shared" si="272"/>
        <v/>
      </c>
      <c r="CZ74" s="1473" t="str">
        <f t="shared" si="273"/>
        <v/>
      </c>
      <c r="DA74" s="1473" t="str">
        <f t="shared" si="274"/>
        <v/>
      </c>
      <c r="DB74" s="1474" t="str">
        <f t="shared" si="275"/>
        <v/>
      </c>
      <c r="DC74" s="1474" t="str">
        <f t="shared" si="276"/>
        <v/>
      </c>
      <c r="DD74" s="1473" t="str">
        <f t="shared" si="400"/>
        <v/>
      </c>
      <c r="DE74" s="1473" t="str">
        <f t="shared" si="401"/>
        <v/>
      </c>
      <c r="DF74" s="1476" t="str">
        <f t="shared" si="277"/>
        <v/>
      </c>
      <c r="DG74" s="1476" t="str">
        <f t="shared" si="278"/>
        <v/>
      </c>
      <c r="DJ74" s="93" t="str">
        <f t="shared" si="402"/>
        <v/>
      </c>
      <c r="DK74" s="93" t="str">
        <f t="shared" si="403"/>
        <v/>
      </c>
      <c r="DL74" s="93">
        <f t="shared" si="404"/>
        <v>0</v>
      </c>
      <c r="DM74" s="93" t="str">
        <f t="shared" si="279"/>
        <v/>
      </c>
      <c r="DN74" s="33">
        <v>21</v>
      </c>
      <c r="DO74" s="93" t="str">
        <f t="shared" si="280"/>
        <v/>
      </c>
      <c r="DP74" s="1"/>
      <c r="DQ74" s="33">
        <v>21</v>
      </c>
      <c r="DR74" s="1486" t="str">
        <f t="shared" si="405"/>
        <v/>
      </c>
      <c r="DS74" s="144" t="str">
        <f t="shared" si="281"/>
        <v/>
      </c>
      <c r="DT74" s="144" t="str">
        <f t="shared" si="282"/>
        <v/>
      </c>
      <c r="DU74" s="144" t="str">
        <f t="shared" si="283"/>
        <v/>
      </c>
      <c r="DV74" s="144" t="str">
        <f t="shared" si="284"/>
        <v/>
      </c>
      <c r="DW74" s="144" t="str">
        <f t="shared" si="285"/>
        <v/>
      </c>
      <c r="DX74" s="144" t="str">
        <f t="shared" si="286"/>
        <v/>
      </c>
      <c r="DY74" s="144" t="str">
        <f t="shared" si="287"/>
        <v/>
      </c>
      <c r="DZ74" s="144" t="str">
        <f t="shared" si="288"/>
        <v/>
      </c>
      <c r="EA74" s="144" t="str">
        <f t="shared" si="289"/>
        <v/>
      </c>
      <c r="EB74" s="144" t="str">
        <f t="shared" si="290"/>
        <v/>
      </c>
      <c r="EC74" s="144" t="str">
        <f t="shared" si="291"/>
        <v/>
      </c>
      <c r="ED74" s="144" t="str">
        <f t="shared" si="292"/>
        <v/>
      </c>
      <c r="EE74" s="144" t="str">
        <f t="shared" si="293"/>
        <v/>
      </c>
      <c r="EF74" s="144" t="str">
        <f t="shared" si="294"/>
        <v/>
      </c>
      <c r="EG74" s="144" t="str">
        <f t="shared" si="295"/>
        <v/>
      </c>
      <c r="EH74" s="144" t="str">
        <f t="shared" si="296"/>
        <v/>
      </c>
      <c r="EI74" s="144" t="str">
        <f t="shared" si="297"/>
        <v/>
      </c>
      <c r="EJ74" s="144" t="str">
        <f t="shared" si="298"/>
        <v/>
      </c>
      <c r="EK74" s="144" t="str">
        <f t="shared" si="299"/>
        <v/>
      </c>
      <c r="EL74" s="144" t="str">
        <f t="shared" si="300"/>
        <v/>
      </c>
      <c r="EM74" s="144" t="str">
        <f t="shared" si="301"/>
        <v/>
      </c>
      <c r="EN74" s="720" t="str">
        <f t="shared" si="302"/>
        <v/>
      </c>
      <c r="EO74" s="720" t="str">
        <f t="shared" si="303"/>
        <v/>
      </c>
      <c r="EP74" s="720" t="str">
        <f t="shared" si="304"/>
        <v/>
      </c>
      <c r="EQ74" s="720" t="str">
        <f t="shared" si="305"/>
        <v/>
      </c>
      <c r="ER74" s="720" t="str">
        <f t="shared" si="306"/>
        <v/>
      </c>
      <c r="ES74" s="1460">
        <f t="shared" si="406"/>
        <v>0</v>
      </c>
      <c r="ET74" s="201">
        <f t="shared" si="407"/>
        <v>26</v>
      </c>
      <c r="EU74" s="137" t="str">
        <f t="shared" si="408"/>
        <v/>
      </c>
      <c r="EV74" s="290" t="str">
        <f t="shared" si="307"/>
        <v/>
      </c>
      <c r="EW74" s="290" t="str">
        <f t="shared" si="308"/>
        <v/>
      </c>
      <c r="EX74" s="725" t="str">
        <f t="shared" si="309"/>
        <v/>
      </c>
      <c r="EY74" s="1322">
        <f t="shared" si="310"/>
        <v>0</v>
      </c>
      <c r="EZ74" s="201">
        <f t="shared" si="409"/>
        <v>25</v>
      </c>
      <c r="FA74" s="1467" t="str">
        <f t="shared" si="410"/>
        <v/>
      </c>
      <c r="FB74" s="216" t="str">
        <f t="shared" si="411"/>
        <v/>
      </c>
      <c r="FC74" s="795" t="str" cm="1">
        <f t="array" ref="FC74">IF($FB74="","",INDEX($H$25:$H$49,$DN45))</f>
        <v/>
      </c>
      <c r="FD74" s="234" t="str">
        <f t="shared" si="412"/>
        <v/>
      </c>
      <c r="FE74" s="90">
        <f t="shared" si="311"/>
        <v>0</v>
      </c>
      <c r="FF74" s="711" t="str">
        <f t="shared" si="413"/>
        <v/>
      </c>
      <c r="FG74" s="712" t="str">
        <f t="shared" si="413"/>
        <v/>
      </c>
      <c r="FH74" s="701" t="str">
        <f t="shared" si="444"/>
        <v/>
      </c>
      <c r="FI74" s="704" t="str">
        <f t="shared" si="312"/>
        <v/>
      </c>
      <c r="FJ74" s="701">
        <f t="shared" si="313"/>
        <v>1</v>
      </c>
      <c r="FK74" s="128">
        <f t="shared" si="414"/>
        <v>0</v>
      </c>
      <c r="FL74" s="701" t="str">
        <f t="shared" si="415"/>
        <v/>
      </c>
      <c r="FM74" s="704" t="str">
        <f t="shared" si="314"/>
        <v/>
      </c>
      <c r="FN74" s="701">
        <f t="shared" si="315"/>
        <v>1</v>
      </c>
      <c r="FO74" s="128">
        <f t="shared" si="316"/>
        <v>0</v>
      </c>
      <c r="FP74" s="701" t="str">
        <f t="shared" si="416"/>
        <v/>
      </c>
      <c r="FQ74" s="704" t="str">
        <f t="shared" si="317"/>
        <v/>
      </c>
      <c r="FR74" s="701">
        <f t="shared" si="417"/>
        <v>1</v>
      </c>
      <c r="FS74" s="128">
        <f t="shared" si="318"/>
        <v>0</v>
      </c>
      <c r="FT74" s="701" t="str">
        <f t="shared" si="418"/>
        <v/>
      </c>
      <c r="FU74" s="704" t="str">
        <f t="shared" si="319"/>
        <v/>
      </c>
      <c r="FV74" s="701">
        <f t="shared" si="419"/>
        <v>1</v>
      </c>
      <c r="FW74" s="128">
        <f t="shared" si="320"/>
        <v>0</v>
      </c>
      <c r="FX74" s="701" t="str">
        <f t="shared" si="420"/>
        <v/>
      </c>
      <c r="FY74" s="704" t="str">
        <f t="shared" si="321"/>
        <v/>
      </c>
      <c r="FZ74" s="701">
        <f t="shared" si="421"/>
        <v>1</v>
      </c>
      <c r="GA74" s="128">
        <f t="shared" si="322"/>
        <v>0</v>
      </c>
      <c r="GB74" s="701" t="str">
        <f t="shared" si="422"/>
        <v/>
      </c>
      <c r="GC74" s="704" t="str">
        <f t="shared" si="323"/>
        <v/>
      </c>
      <c r="GD74" s="701">
        <f t="shared" si="423"/>
        <v>1</v>
      </c>
      <c r="GE74" s="128">
        <f t="shared" si="324"/>
        <v>0</v>
      </c>
      <c r="GF74" s="701" t="str">
        <f t="shared" si="424"/>
        <v/>
      </c>
      <c r="GG74" s="704" t="str">
        <f t="shared" si="325"/>
        <v/>
      </c>
      <c r="GH74" s="701">
        <f t="shared" si="326"/>
        <v>1</v>
      </c>
      <c r="GI74" s="128">
        <f t="shared" si="327"/>
        <v>0</v>
      </c>
      <c r="GJ74" s="701" t="str">
        <f t="shared" si="425"/>
        <v/>
      </c>
      <c r="GK74" s="704" t="str">
        <f t="shared" si="328"/>
        <v/>
      </c>
      <c r="GL74" s="701">
        <f t="shared" si="329"/>
        <v>1</v>
      </c>
      <c r="GM74" s="128">
        <f t="shared" si="330"/>
        <v>0</v>
      </c>
      <c r="GN74" s="701" t="str">
        <f t="shared" si="426"/>
        <v/>
      </c>
      <c r="GO74" s="704" t="str">
        <f t="shared" si="331"/>
        <v/>
      </c>
      <c r="GP74" s="701">
        <f t="shared" si="332"/>
        <v>1</v>
      </c>
      <c r="GQ74" s="128">
        <f t="shared" si="333"/>
        <v>0</v>
      </c>
      <c r="GR74" s="701" t="str">
        <f t="shared" si="427"/>
        <v/>
      </c>
      <c r="GS74" s="704" t="str">
        <f t="shared" si="334"/>
        <v/>
      </c>
      <c r="GT74" s="701">
        <f t="shared" si="335"/>
        <v>1</v>
      </c>
      <c r="GU74" s="128">
        <f t="shared" si="336"/>
        <v>0</v>
      </c>
      <c r="GV74" s="701" t="str">
        <f t="shared" si="428"/>
        <v/>
      </c>
      <c r="GW74" s="704" t="str">
        <f t="shared" si="337"/>
        <v/>
      </c>
      <c r="GX74" s="701">
        <f t="shared" si="338"/>
        <v>1</v>
      </c>
      <c r="GY74" s="128">
        <f t="shared" si="339"/>
        <v>0</v>
      </c>
      <c r="GZ74" s="701" t="str">
        <f t="shared" si="429"/>
        <v/>
      </c>
      <c r="HA74" s="704" t="str">
        <f t="shared" si="340"/>
        <v/>
      </c>
      <c r="HB74" s="701">
        <f t="shared" si="341"/>
        <v>1</v>
      </c>
      <c r="HC74" s="128">
        <f t="shared" si="342"/>
        <v>0</v>
      </c>
      <c r="HD74" s="701" t="str">
        <f t="shared" si="430"/>
        <v/>
      </c>
      <c r="HE74" s="704" t="str">
        <f t="shared" si="343"/>
        <v/>
      </c>
      <c r="HF74" s="701">
        <f t="shared" si="344"/>
        <v>1</v>
      </c>
      <c r="HG74" s="128">
        <f t="shared" si="345"/>
        <v>0</v>
      </c>
      <c r="HH74" s="701" t="str">
        <f t="shared" si="431"/>
        <v/>
      </c>
      <c r="HI74" s="704" t="str">
        <f t="shared" si="346"/>
        <v/>
      </c>
      <c r="HJ74" s="701">
        <f t="shared" si="347"/>
        <v>1</v>
      </c>
      <c r="HK74" s="128">
        <f t="shared" si="348"/>
        <v>0</v>
      </c>
      <c r="HL74" s="701" t="str">
        <f t="shared" si="432"/>
        <v/>
      </c>
      <c r="HM74" s="704" t="str">
        <f t="shared" si="349"/>
        <v/>
      </c>
      <c r="HN74" s="701">
        <f t="shared" si="350"/>
        <v>1</v>
      </c>
      <c r="HO74" s="128">
        <f t="shared" si="351"/>
        <v>0</v>
      </c>
      <c r="HP74" s="701" t="str">
        <f t="shared" si="433"/>
        <v/>
      </c>
      <c r="HQ74" s="704" t="str">
        <f t="shared" si="352"/>
        <v/>
      </c>
      <c r="HR74" s="701">
        <f t="shared" si="353"/>
        <v>1</v>
      </c>
      <c r="HS74" s="128">
        <f t="shared" si="354"/>
        <v>0</v>
      </c>
      <c r="HT74" s="701" t="str">
        <f t="shared" si="434"/>
        <v/>
      </c>
      <c r="HU74" s="704" t="str">
        <f t="shared" si="355"/>
        <v/>
      </c>
      <c r="HV74" s="701">
        <f t="shared" si="356"/>
        <v>1</v>
      </c>
      <c r="HW74" s="128">
        <f t="shared" si="357"/>
        <v>0</v>
      </c>
      <c r="HX74" s="701" t="str">
        <f t="shared" si="435"/>
        <v/>
      </c>
      <c r="HY74" s="704" t="str">
        <f t="shared" si="358"/>
        <v/>
      </c>
      <c r="HZ74" s="701">
        <f t="shared" si="359"/>
        <v>1</v>
      </c>
      <c r="IA74" s="128">
        <f t="shared" si="360"/>
        <v>0</v>
      </c>
      <c r="IB74" s="701" t="str">
        <f t="shared" si="436"/>
        <v/>
      </c>
      <c r="IC74" s="704" t="str">
        <f t="shared" si="361"/>
        <v/>
      </c>
      <c r="ID74" s="701">
        <f t="shared" si="362"/>
        <v>1</v>
      </c>
      <c r="IE74" s="128">
        <f t="shared" si="363"/>
        <v>0</v>
      </c>
      <c r="IF74" s="701" t="str">
        <f t="shared" si="437"/>
        <v/>
      </c>
      <c r="IG74" s="704" t="str">
        <f t="shared" si="364"/>
        <v/>
      </c>
      <c r="IH74" s="701">
        <f t="shared" si="365"/>
        <v>1</v>
      </c>
      <c r="II74" s="128">
        <f t="shared" si="366"/>
        <v>0</v>
      </c>
      <c r="IJ74" s="701" t="str">
        <f t="shared" si="438"/>
        <v/>
      </c>
      <c r="IK74" s="704" t="str">
        <f t="shared" si="367"/>
        <v/>
      </c>
      <c r="IL74" s="701">
        <f t="shared" si="368"/>
        <v>1</v>
      </c>
      <c r="IM74" s="128">
        <f t="shared" si="369"/>
        <v>0</v>
      </c>
      <c r="IN74" s="701" t="str">
        <f t="shared" si="439"/>
        <v/>
      </c>
      <c r="IO74" s="704" t="str">
        <f t="shared" si="370"/>
        <v/>
      </c>
      <c r="IP74" s="701">
        <f t="shared" si="371"/>
        <v>1</v>
      </c>
      <c r="IQ74" s="128">
        <f t="shared" si="372"/>
        <v>0</v>
      </c>
      <c r="IR74" s="701" t="str">
        <f t="shared" si="440"/>
        <v/>
      </c>
      <c r="IS74" s="704" t="str">
        <f t="shared" si="373"/>
        <v/>
      </c>
      <c r="IT74" s="701">
        <f t="shared" si="374"/>
        <v>1</v>
      </c>
      <c r="IU74" s="128">
        <f t="shared" si="375"/>
        <v>0</v>
      </c>
      <c r="IV74" s="701" t="str">
        <f t="shared" si="441"/>
        <v/>
      </c>
      <c r="IW74" s="704" t="str">
        <f t="shared" si="376"/>
        <v/>
      </c>
      <c r="IX74" s="701">
        <f t="shared" si="377"/>
        <v>1</v>
      </c>
      <c r="IY74" s="128">
        <f t="shared" si="378"/>
        <v>0</v>
      </c>
    </row>
    <row r="75" spans="3:259" s="2" customFormat="1" ht="13.3" thickTop="1" thickBot="1" x14ac:dyDescent="0.35">
      <c r="D75" s="1"/>
      <c r="E75" s="1"/>
      <c r="F75" s="1"/>
      <c r="G75" s="1"/>
      <c r="H75" s="1"/>
      <c r="J75" s="1"/>
      <c r="K75" s="1"/>
      <c r="L75" s="1"/>
      <c r="M75" s="1"/>
      <c r="N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T75" s="87" t="str">
        <f t="shared" si="443"/>
        <v/>
      </c>
      <c r="AU75" s="78" t="str">
        <f t="shared" si="445"/>
        <v/>
      </c>
      <c r="AV75" s="78" t="str">
        <f t="shared" si="446"/>
        <v/>
      </c>
      <c r="AW75" s="78" t="str">
        <f t="shared" si="251"/>
        <v/>
      </c>
      <c r="AX75" s="239">
        <f t="shared" si="252"/>
        <v>0</v>
      </c>
      <c r="AY75" s="239" t="str">
        <f t="shared" si="253"/>
        <v/>
      </c>
      <c r="AZ75" s="214" t="str">
        <f t="shared" si="254"/>
        <v/>
      </c>
      <c r="BA75" s="214" t="str">
        <f t="shared" si="255"/>
        <v/>
      </c>
      <c r="BB75" s="214" t="str">
        <f t="shared" si="256"/>
        <v/>
      </c>
      <c r="BC75" s="214" t="str">
        <f t="shared" si="257"/>
        <v/>
      </c>
      <c r="BD75" s="1322">
        <f t="shared" si="379"/>
        <v>22</v>
      </c>
      <c r="BE75" s="1"/>
      <c r="BF75" s="214" t="str">
        <f t="shared" si="258"/>
        <v/>
      </c>
      <c r="BG75" s="94">
        <f t="shared" si="259"/>
        <v>0</v>
      </c>
      <c r="BH75" s="94">
        <f t="shared" si="260"/>
        <v>0</v>
      </c>
      <c r="BI75" s="94">
        <f t="shared" si="261"/>
        <v>0</v>
      </c>
      <c r="BJ75" s="237">
        <f t="shared" si="380"/>
        <v>0</v>
      </c>
      <c r="BK75" s="237">
        <f t="shared" si="262"/>
        <v>0</v>
      </c>
      <c r="BL75" s="237">
        <f t="shared" si="263"/>
        <v>0</v>
      </c>
      <c r="BM75" s="237">
        <f t="shared" si="264"/>
        <v>0</v>
      </c>
      <c r="BN75" s="237">
        <f t="shared" si="265"/>
        <v>0</v>
      </c>
      <c r="BO75" s="237">
        <f t="shared" si="266"/>
        <v>0</v>
      </c>
      <c r="BP75" s="237">
        <f t="shared" si="267"/>
        <v>0</v>
      </c>
      <c r="BQ75" s="237">
        <f t="shared" si="268"/>
        <v>0</v>
      </c>
      <c r="BR75" s="237">
        <f t="shared" si="269"/>
        <v>0</v>
      </c>
      <c r="BS75" s="237">
        <f t="shared" si="270"/>
        <v>0</v>
      </c>
      <c r="BT75" s="237">
        <f t="shared" si="381"/>
        <v>0</v>
      </c>
      <c r="BU75" s="237">
        <f t="shared" si="382"/>
        <v>0</v>
      </c>
      <c r="BV75" s="237">
        <f t="shared" si="383"/>
        <v>0</v>
      </c>
      <c r="BW75" s="237">
        <f t="shared" si="384"/>
        <v>0</v>
      </c>
      <c r="BX75" s="237">
        <f t="shared" si="385"/>
        <v>0</v>
      </c>
      <c r="BY75" s="237">
        <f t="shared" si="386"/>
        <v>0</v>
      </c>
      <c r="BZ75" s="237">
        <f t="shared" si="387"/>
        <v>0</v>
      </c>
      <c r="CA75" s="237">
        <f t="shared" si="388"/>
        <v>0</v>
      </c>
      <c r="CB75" s="237">
        <f t="shared" si="389"/>
        <v>0</v>
      </c>
      <c r="CC75" s="237">
        <f t="shared" si="390"/>
        <v>0</v>
      </c>
      <c r="CD75" s="237">
        <f t="shared" si="391"/>
        <v>0</v>
      </c>
      <c r="CE75" s="237">
        <f t="shared" si="392"/>
        <v>0</v>
      </c>
      <c r="CF75" s="237">
        <f t="shared" si="393"/>
        <v>0</v>
      </c>
      <c r="CG75" s="237">
        <f t="shared" si="394"/>
        <v>0</v>
      </c>
      <c r="CH75" s="237">
        <f t="shared" si="395"/>
        <v>0</v>
      </c>
      <c r="CI75" s="3"/>
      <c r="CJ75" s="3"/>
      <c r="CK75" s="1"/>
      <c r="CL75" s="1"/>
      <c r="CM75" s="1"/>
      <c r="CN75" s="1"/>
      <c r="CO75" s="1"/>
      <c r="CP75" s="1"/>
      <c r="CQ75" s="1"/>
      <c r="CR75" s="524">
        <f t="shared" si="396"/>
        <v>0</v>
      </c>
      <c r="CT75" s="495" t="str">
        <f t="shared" si="397"/>
        <v/>
      </c>
      <c r="CU75" s="496" t="str">
        <f t="shared" si="398"/>
        <v/>
      </c>
      <c r="CV75" s="496" t="str">
        <f t="shared" si="399"/>
        <v/>
      </c>
      <c r="CW75" s="1"/>
      <c r="CX75" s="1026" t="str">
        <f t="shared" si="271"/>
        <v/>
      </c>
      <c r="CY75" s="1026" t="str">
        <f t="shared" si="272"/>
        <v/>
      </c>
      <c r="CZ75" s="1473" t="str">
        <f t="shared" si="273"/>
        <v/>
      </c>
      <c r="DA75" s="1473" t="str">
        <f t="shared" si="274"/>
        <v/>
      </c>
      <c r="DB75" s="1474" t="str">
        <f t="shared" si="275"/>
        <v/>
      </c>
      <c r="DC75" s="1474" t="str">
        <f t="shared" si="276"/>
        <v/>
      </c>
      <c r="DD75" s="1473" t="str">
        <f t="shared" si="400"/>
        <v/>
      </c>
      <c r="DE75" s="1473" t="str">
        <f t="shared" si="401"/>
        <v/>
      </c>
      <c r="DF75" s="1476" t="str">
        <f t="shared" si="277"/>
        <v/>
      </c>
      <c r="DG75" s="1476" t="str">
        <f t="shared" si="278"/>
        <v/>
      </c>
      <c r="DJ75" s="93" t="str">
        <f t="shared" si="402"/>
        <v/>
      </c>
      <c r="DK75" s="93" t="str">
        <f t="shared" si="403"/>
        <v/>
      </c>
      <c r="DL75" s="93">
        <f t="shared" si="404"/>
        <v>0</v>
      </c>
      <c r="DM75" s="93" t="str">
        <f t="shared" si="279"/>
        <v/>
      </c>
      <c r="DN75" s="33">
        <v>22</v>
      </c>
      <c r="DO75" s="93" t="str">
        <f t="shared" si="280"/>
        <v/>
      </c>
      <c r="DP75" s="1"/>
      <c r="DQ75" s="33">
        <v>22</v>
      </c>
      <c r="DR75" s="1486" t="str">
        <f t="shared" si="405"/>
        <v/>
      </c>
      <c r="DS75" s="144" t="str">
        <f t="shared" si="281"/>
        <v/>
      </c>
      <c r="DT75" s="144" t="str">
        <f t="shared" si="282"/>
        <v/>
      </c>
      <c r="DU75" s="144" t="str">
        <f t="shared" si="283"/>
        <v/>
      </c>
      <c r="DV75" s="144" t="str">
        <f t="shared" si="284"/>
        <v/>
      </c>
      <c r="DW75" s="144" t="str">
        <f t="shared" si="285"/>
        <v/>
      </c>
      <c r="DX75" s="144" t="str">
        <f t="shared" si="286"/>
        <v/>
      </c>
      <c r="DY75" s="144" t="str">
        <f t="shared" si="287"/>
        <v/>
      </c>
      <c r="DZ75" s="144" t="str">
        <f t="shared" si="288"/>
        <v/>
      </c>
      <c r="EA75" s="144" t="str">
        <f t="shared" si="289"/>
        <v/>
      </c>
      <c r="EB75" s="144" t="str">
        <f t="shared" si="290"/>
        <v/>
      </c>
      <c r="EC75" s="144" t="str">
        <f t="shared" si="291"/>
        <v/>
      </c>
      <c r="ED75" s="144" t="str">
        <f t="shared" si="292"/>
        <v/>
      </c>
      <c r="EE75" s="144" t="str">
        <f t="shared" si="293"/>
        <v/>
      </c>
      <c r="EF75" s="144" t="str">
        <f t="shared" si="294"/>
        <v/>
      </c>
      <c r="EG75" s="144" t="str">
        <f t="shared" si="295"/>
        <v/>
      </c>
      <c r="EH75" s="144" t="str">
        <f t="shared" si="296"/>
        <v/>
      </c>
      <c r="EI75" s="144" t="str">
        <f t="shared" si="297"/>
        <v/>
      </c>
      <c r="EJ75" s="144" t="str">
        <f t="shared" si="298"/>
        <v/>
      </c>
      <c r="EK75" s="144" t="str">
        <f t="shared" si="299"/>
        <v/>
      </c>
      <c r="EL75" s="144" t="str">
        <f t="shared" si="300"/>
        <v/>
      </c>
      <c r="EM75" s="144" t="str">
        <f t="shared" si="301"/>
        <v/>
      </c>
      <c r="EN75" s="720" t="str">
        <f t="shared" si="302"/>
        <v/>
      </c>
      <c r="EO75" s="720" t="str">
        <f t="shared" si="303"/>
        <v/>
      </c>
      <c r="EP75" s="720" t="str">
        <f t="shared" si="304"/>
        <v/>
      </c>
      <c r="EQ75" s="720" t="str">
        <f t="shared" si="305"/>
        <v/>
      </c>
      <c r="ER75" s="720" t="str">
        <f t="shared" si="306"/>
        <v/>
      </c>
      <c r="ES75" s="1460">
        <f t="shared" si="406"/>
        <v>0</v>
      </c>
      <c r="ET75" s="201">
        <f t="shared" si="407"/>
        <v>26</v>
      </c>
      <c r="EU75" s="137" t="str">
        <f t="shared" si="408"/>
        <v/>
      </c>
      <c r="EV75" s="290" t="str">
        <f t="shared" si="307"/>
        <v/>
      </c>
      <c r="EW75" s="290" t="str">
        <f t="shared" si="308"/>
        <v/>
      </c>
      <c r="EX75" s="725" t="str">
        <f t="shared" si="309"/>
        <v/>
      </c>
      <c r="EY75" s="1322">
        <f t="shared" si="310"/>
        <v>0</v>
      </c>
      <c r="EZ75" s="201">
        <f t="shared" si="409"/>
        <v>25</v>
      </c>
      <c r="FA75" s="1467" t="str">
        <f t="shared" si="410"/>
        <v/>
      </c>
      <c r="FB75" s="216" t="str">
        <f t="shared" si="411"/>
        <v/>
      </c>
      <c r="FC75" s="795" t="str" cm="1">
        <f t="array" ref="FC75">IF($FB75="","",INDEX($H$25:$H$49,$DN46))</f>
        <v/>
      </c>
      <c r="FD75" s="234" t="str">
        <f t="shared" si="412"/>
        <v/>
      </c>
      <c r="FE75" s="90">
        <f t="shared" si="311"/>
        <v>0</v>
      </c>
      <c r="FF75" s="711" t="str">
        <f t="shared" si="413"/>
        <v/>
      </c>
      <c r="FG75" s="712" t="str">
        <f t="shared" si="413"/>
        <v/>
      </c>
      <c r="FH75" s="701" t="str">
        <f t="shared" si="444"/>
        <v/>
      </c>
      <c r="FI75" s="704" t="str">
        <f t="shared" si="312"/>
        <v/>
      </c>
      <c r="FJ75" s="701">
        <f t="shared" si="313"/>
        <v>1</v>
      </c>
      <c r="FK75" s="128">
        <f t="shared" si="414"/>
        <v>0</v>
      </c>
      <c r="FL75" s="701" t="str">
        <f t="shared" si="415"/>
        <v/>
      </c>
      <c r="FM75" s="704" t="str">
        <f t="shared" si="314"/>
        <v/>
      </c>
      <c r="FN75" s="701">
        <f t="shared" si="315"/>
        <v>1</v>
      </c>
      <c r="FO75" s="128">
        <f t="shared" si="316"/>
        <v>0</v>
      </c>
      <c r="FP75" s="701" t="str">
        <f t="shared" si="416"/>
        <v/>
      </c>
      <c r="FQ75" s="704" t="str">
        <f t="shared" si="317"/>
        <v/>
      </c>
      <c r="FR75" s="701">
        <f t="shared" si="417"/>
        <v>1</v>
      </c>
      <c r="FS75" s="128">
        <f t="shared" si="318"/>
        <v>0</v>
      </c>
      <c r="FT75" s="701" t="str">
        <f t="shared" si="418"/>
        <v/>
      </c>
      <c r="FU75" s="704" t="str">
        <f t="shared" si="319"/>
        <v/>
      </c>
      <c r="FV75" s="701">
        <f t="shared" si="419"/>
        <v>1</v>
      </c>
      <c r="FW75" s="128">
        <f t="shared" si="320"/>
        <v>0</v>
      </c>
      <c r="FX75" s="701" t="str">
        <f t="shared" si="420"/>
        <v/>
      </c>
      <c r="FY75" s="704" t="str">
        <f t="shared" si="321"/>
        <v/>
      </c>
      <c r="FZ75" s="701">
        <f t="shared" si="421"/>
        <v>1</v>
      </c>
      <c r="GA75" s="128">
        <f t="shared" si="322"/>
        <v>0</v>
      </c>
      <c r="GB75" s="701" t="str">
        <f t="shared" si="422"/>
        <v/>
      </c>
      <c r="GC75" s="704" t="str">
        <f t="shared" si="323"/>
        <v/>
      </c>
      <c r="GD75" s="701">
        <f t="shared" si="423"/>
        <v>1</v>
      </c>
      <c r="GE75" s="128">
        <f t="shared" si="324"/>
        <v>0</v>
      </c>
      <c r="GF75" s="701" t="str">
        <f t="shared" si="424"/>
        <v/>
      </c>
      <c r="GG75" s="704" t="str">
        <f t="shared" si="325"/>
        <v/>
      </c>
      <c r="GH75" s="701">
        <f t="shared" si="326"/>
        <v>1</v>
      </c>
      <c r="GI75" s="128">
        <f t="shared" si="327"/>
        <v>0</v>
      </c>
      <c r="GJ75" s="701" t="str">
        <f t="shared" si="425"/>
        <v/>
      </c>
      <c r="GK75" s="704" t="str">
        <f t="shared" si="328"/>
        <v/>
      </c>
      <c r="GL75" s="701">
        <f t="shared" si="329"/>
        <v>1</v>
      </c>
      <c r="GM75" s="128">
        <f t="shared" si="330"/>
        <v>0</v>
      </c>
      <c r="GN75" s="701" t="str">
        <f t="shared" si="426"/>
        <v/>
      </c>
      <c r="GO75" s="704" t="str">
        <f t="shared" si="331"/>
        <v/>
      </c>
      <c r="GP75" s="701">
        <f t="shared" si="332"/>
        <v>1</v>
      </c>
      <c r="GQ75" s="128">
        <f t="shared" si="333"/>
        <v>0</v>
      </c>
      <c r="GR75" s="701" t="str">
        <f t="shared" si="427"/>
        <v/>
      </c>
      <c r="GS75" s="704" t="str">
        <f t="shared" si="334"/>
        <v/>
      </c>
      <c r="GT75" s="701">
        <f t="shared" si="335"/>
        <v>1</v>
      </c>
      <c r="GU75" s="128">
        <f t="shared" si="336"/>
        <v>0</v>
      </c>
      <c r="GV75" s="701" t="str">
        <f t="shared" si="428"/>
        <v/>
      </c>
      <c r="GW75" s="704" t="str">
        <f t="shared" si="337"/>
        <v/>
      </c>
      <c r="GX75" s="701">
        <f t="shared" si="338"/>
        <v>1</v>
      </c>
      <c r="GY75" s="128">
        <f t="shared" si="339"/>
        <v>0</v>
      </c>
      <c r="GZ75" s="701" t="str">
        <f t="shared" si="429"/>
        <v/>
      </c>
      <c r="HA75" s="704" t="str">
        <f t="shared" si="340"/>
        <v/>
      </c>
      <c r="HB75" s="701">
        <f t="shared" si="341"/>
        <v>1</v>
      </c>
      <c r="HC75" s="128">
        <f t="shared" si="342"/>
        <v>0</v>
      </c>
      <c r="HD75" s="701" t="str">
        <f t="shared" si="430"/>
        <v/>
      </c>
      <c r="HE75" s="704" t="str">
        <f t="shared" si="343"/>
        <v/>
      </c>
      <c r="HF75" s="701">
        <f t="shared" si="344"/>
        <v>1</v>
      </c>
      <c r="HG75" s="128">
        <f t="shared" si="345"/>
        <v>0</v>
      </c>
      <c r="HH75" s="701" t="str">
        <f t="shared" si="431"/>
        <v/>
      </c>
      <c r="HI75" s="704" t="str">
        <f t="shared" si="346"/>
        <v/>
      </c>
      <c r="HJ75" s="701">
        <f t="shared" si="347"/>
        <v>1</v>
      </c>
      <c r="HK75" s="128">
        <f t="shared" si="348"/>
        <v>0</v>
      </c>
      <c r="HL75" s="701" t="str">
        <f t="shared" si="432"/>
        <v/>
      </c>
      <c r="HM75" s="704" t="str">
        <f t="shared" si="349"/>
        <v/>
      </c>
      <c r="HN75" s="701">
        <f t="shared" si="350"/>
        <v>1</v>
      </c>
      <c r="HO75" s="128">
        <f t="shared" si="351"/>
        <v>0</v>
      </c>
      <c r="HP75" s="701" t="str">
        <f t="shared" si="433"/>
        <v/>
      </c>
      <c r="HQ75" s="704" t="str">
        <f t="shared" si="352"/>
        <v/>
      </c>
      <c r="HR75" s="701">
        <f t="shared" si="353"/>
        <v>1</v>
      </c>
      <c r="HS75" s="128">
        <f t="shared" si="354"/>
        <v>0</v>
      </c>
      <c r="HT75" s="701" t="str">
        <f t="shared" si="434"/>
        <v/>
      </c>
      <c r="HU75" s="704" t="str">
        <f t="shared" si="355"/>
        <v/>
      </c>
      <c r="HV75" s="701">
        <f t="shared" si="356"/>
        <v>1</v>
      </c>
      <c r="HW75" s="128">
        <f t="shared" si="357"/>
        <v>0</v>
      </c>
      <c r="HX75" s="701" t="str">
        <f t="shared" si="435"/>
        <v/>
      </c>
      <c r="HY75" s="704" t="str">
        <f t="shared" si="358"/>
        <v/>
      </c>
      <c r="HZ75" s="701">
        <f t="shared" si="359"/>
        <v>1</v>
      </c>
      <c r="IA75" s="128">
        <f t="shared" si="360"/>
        <v>0</v>
      </c>
      <c r="IB75" s="701" t="str">
        <f t="shared" si="436"/>
        <v/>
      </c>
      <c r="IC75" s="704" t="str">
        <f t="shared" si="361"/>
        <v/>
      </c>
      <c r="ID75" s="701">
        <f t="shared" si="362"/>
        <v>1</v>
      </c>
      <c r="IE75" s="128">
        <f t="shared" si="363"/>
        <v>0</v>
      </c>
      <c r="IF75" s="701" t="str">
        <f t="shared" si="437"/>
        <v/>
      </c>
      <c r="IG75" s="704" t="str">
        <f t="shared" si="364"/>
        <v/>
      </c>
      <c r="IH75" s="701">
        <f t="shared" si="365"/>
        <v>1</v>
      </c>
      <c r="II75" s="128">
        <f t="shared" si="366"/>
        <v>0</v>
      </c>
      <c r="IJ75" s="701" t="str">
        <f t="shared" si="438"/>
        <v/>
      </c>
      <c r="IK75" s="704" t="str">
        <f t="shared" si="367"/>
        <v/>
      </c>
      <c r="IL75" s="701">
        <f t="shared" si="368"/>
        <v>1</v>
      </c>
      <c r="IM75" s="128">
        <f t="shared" si="369"/>
        <v>0</v>
      </c>
      <c r="IN75" s="701" t="str">
        <f t="shared" si="439"/>
        <v/>
      </c>
      <c r="IO75" s="704" t="str">
        <f t="shared" si="370"/>
        <v/>
      </c>
      <c r="IP75" s="701">
        <f t="shared" si="371"/>
        <v>1</v>
      </c>
      <c r="IQ75" s="128">
        <f t="shared" si="372"/>
        <v>0</v>
      </c>
      <c r="IR75" s="701" t="str">
        <f t="shared" si="440"/>
        <v/>
      </c>
      <c r="IS75" s="704" t="str">
        <f t="shared" si="373"/>
        <v/>
      </c>
      <c r="IT75" s="701">
        <f t="shared" si="374"/>
        <v>1</v>
      </c>
      <c r="IU75" s="128">
        <f t="shared" si="375"/>
        <v>0</v>
      </c>
      <c r="IV75" s="701" t="str">
        <f t="shared" si="441"/>
        <v/>
      </c>
      <c r="IW75" s="704" t="str">
        <f t="shared" si="376"/>
        <v/>
      </c>
      <c r="IX75" s="701">
        <f t="shared" si="377"/>
        <v>1</v>
      </c>
      <c r="IY75" s="128">
        <f t="shared" si="378"/>
        <v>0</v>
      </c>
    </row>
    <row r="76" spans="3:259" s="2" customFormat="1" ht="13.3" thickTop="1" thickBot="1" x14ac:dyDescent="0.35">
      <c r="C76" s="708"/>
      <c r="D76" s="1"/>
      <c r="E76" s="1"/>
      <c r="F76" s="1"/>
      <c r="G76" s="1"/>
      <c r="H76" s="1"/>
      <c r="J76" s="1"/>
      <c r="K76" s="1"/>
      <c r="L76" s="1"/>
      <c r="M76" s="1"/>
      <c r="N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T76" s="87" t="str">
        <f t="shared" si="443"/>
        <v/>
      </c>
      <c r="AU76" s="78" t="str">
        <f t="shared" si="445"/>
        <v/>
      </c>
      <c r="AV76" s="78" t="str">
        <f t="shared" si="446"/>
        <v/>
      </c>
      <c r="AW76" s="78" t="str">
        <f t="shared" si="251"/>
        <v/>
      </c>
      <c r="AX76" s="239">
        <f t="shared" si="252"/>
        <v>0</v>
      </c>
      <c r="AY76" s="239" t="str">
        <f t="shared" si="253"/>
        <v/>
      </c>
      <c r="AZ76" s="214" t="str">
        <f t="shared" si="254"/>
        <v/>
      </c>
      <c r="BA76" s="214" t="str">
        <f t="shared" si="255"/>
        <v/>
      </c>
      <c r="BB76" s="214" t="str">
        <f t="shared" si="256"/>
        <v/>
      </c>
      <c r="BC76" s="214" t="str">
        <f t="shared" si="257"/>
        <v/>
      </c>
      <c r="BD76" s="1322">
        <f t="shared" si="379"/>
        <v>23</v>
      </c>
      <c r="BE76" s="1"/>
      <c r="BF76" s="214" t="str">
        <f t="shared" si="258"/>
        <v/>
      </c>
      <c r="BG76" s="94">
        <f t="shared" si="259"/>
        <v>0</v>
      </c>
      <c r="BH76" s="94">
        <f t="shared" si="260"/>
        <v>0</v>
      </c>
      <c r="BI76" s="94">
        <f t="shared" si="261"/>
        <v>0</v>
      </c>
      <c r="BJ76" s="237">
        <f t="shared" si="380"/>
        <v>0</v>
      </c>
      <c r="BK76" s="237">
        <f t="shared" si="262"/>
        <v>0</v>
      </c>
      <c r="BL76" s="237">
        <f t="shared" si="263"/>
        <v>0</v>
      </c>
      <c r="BM76" s="237">
        <f t="shared" si="264"/>
        <v>0</v>
      </c>
      <c r="BN76" s="237">
        <f t="shared" si="265"/>
        <v>0</v>
      </c>
      <c r="BO76" s="237">
        <f t="shared" si="266"/>
        <v>0</v>
      </c>
      <c r="BP76" s="237">
        <f t="shared" si="267"/>
        <v>0</v>
      </c>
      <c r="BQ76" s="237">
        <f t="shared" si="268"/>
        <v>0</v>
      </c>
      <c r="BR76" s="237">
        <f t="shared" si="269"/>
        <v>0</v>
      </c>
      <c r="BS76" s="237">
        <f t="shared" si="270"/>
        <v>0</v>
      </c>
      <c r="BT76" s="237">
        <f t="shared" si="381"/>
        <v>0</v>
      </c>
      <c r="BU76" s="237">
        <f t="shared" si="382"/>
        <v>0</v>
      </c>
      <c r="BV76" s="237">
        <f t="shared" si="383"/>
        <v>0</v>
      </c>
      <c r="BW76" s="237">
        <f t="shared" si="384"/>
        <v>0</v>
      </c>
      <c r="BX76" s="237">
        <f t="shared" si="385"/>
        <v>0</v>
      </c>
      <c r="BY76" s="237">
        <f t="shared" si="386"/>
        <v>0</v>
      </c>
      <c r="BZ76" s="237">
        <f t="shared" si="387"/>
        <v>0</v>
      </c>
      <c r="CA76" s="237">
        <f t="shared" si="388"/>
        <v>0</v>
      </c>
      <c r="CB76" s="237">
        <f t="shared" si="389"/>
        <v>0</v>
      </c>
      <c r="CC76" s="237">
        <f t="shared" si="390"/>
        <v>0</v>
      </c>
      <c r="CD76" s="237">
        <f t="shared" si="391"/>
        <v>0</v>
      </c>
      <c r="CE76" s="237">
        <f t="shared" si="392"/>
        <v>0</v>
      </c>
      <c r="CF76" s="237">
        <f t="shared" si="393"/>
        <v>0</v>
      </c>
      <c r="CG76" s="237">
        <f t="shared" si="394"/>
        <v>0</v>
      </c>
      <c r="CH76" s="237">
        <f t="shared" si="395"/>
        <v>0</v>
      </c>
      <c r="CI76" s="3"/>
      <c r="CJ76" s="3"/>
      <c r="CK76" s="1"/>
      <c r="CL76" s="1"/>
      <c r="CM76" s="1"/>
      <c r="CN76" s="1"/>
      <c r="CO76" s="1"/>
      <c r="CP76" s="1"/>
      <c r="CQ76" s="1"/>
      <c r="CR76" s="524">
        <f t="shared" si="396"/>
        <v>0</v>
      </c>
      <c r="CT76" s="495" t="str">
        <f t="shared" si="397"/>
        <v/>
      </c>
      <c r="CU76" s="496" t="str">
        <f t="shared" si="398"/>
        <v/>
      </c>
      <c r="CV76" s="496" t="str">
        <f t="shared" si="399"/>
        <v/>
      </c>
      <c r="CW76" s="1"/>
      <c r="CX76" s="1026" t="str">
        <f t="shared" si="271"/>
        <v/>
      </c>
      <c r="CY76" s="1026" t="str">
        <f t="shared" si="272"/>
        <v/>
      </c>
      <c r="CZ76" s="1473" t="str">
        <f t="shared" si="273"/>
        <v/>
      </c>
      <c r="DA76" s="1473" t="str">
        <f t="shared" si="274"/>
        <v/>
      </c>
      <c r="DB76" s="1474" t="str">
        <f t="shared" si="275"/>
        <v/>
      </c>
      <c r="DC76" s="1474" t="str">
        <f t="shared" si="276"/>
        <v/>
      </c>
      <c r="DD76" s="1473" t="str">
        <f t="shared" si="400"/>
        <v/>
      </c>
      <c r="DE76" s="1473" t="str">
        <f t="shared" si="401"/>
        <v/>
      </c>
      <c r="DF76" s="1476" t="str">
        <f t="shared" si="277"/>
        <v/>
      </c>
      <c r="DG76" s="1476" t="str">
        <f t="shared" si="278"/>
        <v/>
      </c>
      <c r="DJ76" s="93" t="str">
        <f t="shared" si="402"/>
        <v/>
      </c>
      <c r="DK76" s="93" t="str">
        <f t="shared" si="403"/>
        <v/>
      </c>
      <c r="DL76" s="93">
        <f t="shared" si="404"/>
        <v>0</v>
      </c>
      <c r="DM76" s="93" t="str">
        <f t="shared" si="279"/>
        <v/>
      </c>
      <c r="DN76" s="33">
        <v>23</v>
      </c>
      <c r="DO76" s="93" t="str">
        <f t="shared" si="280"/>
        <v/>
      </c>
      <c r="DP76" s="1"/>
      <c r="DQ76" s="33">
        <v>23</v>
      </c>
      <c r="DR76" s="1486" t="str">
        <f t="shared" si="405"/>
        <v/>
      </c>
      <c r="DS76" s="144" t="str">
        <f t="shared" si="281"/>
        <v/>
      </c>
      <c r="DT76" s="144" t="str">
        <f t="shared" si="282"/>
        <v/>
      </c>
      <c r="DU76" s="144" t="str">
        <f t="shared" si="283"/>
        <v/>
      </c>
      <c r="DV76" s="144" t="str">
        <f t="shared" si="284"/>
        <v/>
      </c>
      <c r="DW76" s="144" t="str">
        <f t="shared" si="285"/>
        <v/>
      </c>
      <c r="DX76" s="144" t="str">
        <f t="shared" si="286"/>
        <v/>
      </c>
      <c r="DY76" s="144" t="str">
        <f t="shared" si="287"/>
        <v/>
      </c>
      <c r="DZ76" s="144" t="str">
        <f t="shared" si="288"/>
        <v/>
      </c>
      <c r="EA76" s="144" t="str">
        <f t="shared" si="289"/>
        <v/>
      </c>
      <c r="EB76" s="144" t="str">
        <f t="shared" si="290"/>
        <v/>
      </c>
      <c r="EC76" s="144" t="str">
        <f t="shared" si="291"/>
        <v/>
      </c>
      <c r="ED76" s="144" t="str">
        <f t="shared" si="292"/>
        <v/>
      </c>
      <c r="EE76" s="144" t="str">
        <f t="shared" si="293"/>
        <v/>
      </c>
      <c r="EF76" s="144" t="str">
        <f t="shared" si="294"/>
        <v/>
      </c>
      <c r="EG76" s="144" t="str">
        <f t="shared" si="295"/>
        <v/>
      </c>
      <c r="EH76" s="144" t="str">
        <f t="shared" si="296"/>
        <v/>
      </c>
      <c r="EI76" s="144" t="str">
        <f t="shared" si="297"/>
        <v/>
      </c>
      <c r="EJ76" s="144" t="str">
        <f t="shared" si="298"/>
        <v/>
      </c>
      <c r="EK76" s="144" t="str">
        <f t="shared" si="299"/>
        <v/>
      </c>
      <c r="EL76" s="144" t="str">
        <f t="shared" si="300"/>
        <v/>
      </c>
      <c r="EM76" s="144" t="str">
        <f t="shared" si="301"/>
        <v/>
      </c>
      <c r="EN76" s="720" t="str">
        <f t="shared" si="302"/>
        <v/>
      </c>
      <c r="EO76" s="720" t="str">
        <f t="shared" si="303"/>
        <v/>
      </c>
      <c r="EP76" s="720" t="str">
        <f t="shared" si="304"/>
        <v/>
      </c>
      <c r="EQ76" s="720" t="str">
        <f t="shared" si="305"/>
        <v/>
      </c>
      <c r="ER76" s="720" t="str">
        <f t="shared" si="306"/>
        <v/>
      </c>
      <c r="ES76" s="1460">
        <f t="shared" si="406"/>
        <v>0</v>
      </c>
      <c r="ET76" s="201">
        <f t="shared" si="407"/>
        <v>26</v>
      </c>
      <c r="EU76" s="137" t="str">
        <f t="shared" si="408"/>
        <v/>
      </c>
      <c r="EV76" s="290" t="str">
        <f t="shared" si="307"/>
        <v/>
      </c>
      <c r="EW76" s="290" t="str">
        <f t="shared" si="308"/>
        <v/>
      </c>
      <c r="EX76" s="725" t="str">
        <f t="shared" si="309"/>
        <v/>
      </c>
      <c r="EY76" s="1322">
        <f t="shared" si="310"/>
        <v>0</v>
      </c>
      <c r="EZ76" s="201">
        <f t="shared" si="409"/>
        <v>25</v>
      </c>
      <c r="FA76" s="1467" t="str">
        <f t="shared" si="410"/>
        <v/>
      </c>
      <c r="FB76" s="216" t="str">
        <f t="shared" si="411"/>
        <v/>
      </c>
      <c r="FC76" s="795" t="str" cm="1">
        <f t="array" ref="FC76">IF($FB76="","",INDEX($H$25:$H$49,$DN47))</f>
        <v/>
      </c>
      <c r="FD76" s="234" t="str">
        <f t="shared" si="412"/>
        <v/>
      </c>
      <c r="FE76" s="90">
        <f t="shared" si="311"/>
        <v>0</v>
      </c>
      <c r="FF76" s="711" t="str">
        <f t="shared" si="413"/>
        <v/>
      </c>
      <c r="FG76" s="712" t="str">
        <f t="shared" si="413"/>
        <v/>
      </c>
      <c r="FH76" s="701" t="str">
        <f t="shared" si="444"/>
        <v/>
      </c>
      <c r="FI76" s="704" t="str">
        <f t="shared" si="312"/>
        <v/>
      </c>
      <c r="FJ76" s="701">
        <f t="shared" si="313"/>
        <v>1</v>
      </c>
      <c r="FK76" s="128">
        <f t="shared" si="414"/>
        <v>0</v>
      </c>
      <c r="FL76" s="701" t="str">
        <f t="shared" si="415"/>
        <v/>
      </c>
      <c r="FM76" s="704" t="str">
        <f t="shared" si="314"/>
        <v/>
      </c>
      <c r="FN76" s="701">
        <f t="shared" si="315"/>
        <v>1</v>
      </c>
      <c r="FO76" s="128">
        <f t="shared" si="316"/>
        <v>0</v>
      </c>
      <c r="FP76" s="701" t="str">
        <f t="shared" si="416"/>
        <v/>
      </c>
      <c r="FQ76" s="704" t="str">
        <f t="shared" si="317"/>
        <v/>
      </c>
      <c r="FR76" s="701">
        <f t="shared" si="417"/>
        <v>1</v>
      </c>
      <c r="FS76" s="128">
        <f t="shared" si="318"/>
        <v>0</v>
      </c>
      <c r="FT76" s="701" t="str">
        <f t="shared" si="418"/>
        <v/>
      </c>
      <c r="FU76" s="704" t="str">
        <f t="shared" si="319"/>
        <v/>
      </c>
      <c r="FV76" s="701">
        <f t="shared" si="419"/>
        <v>1</v>
      </c>
      <c r="FW76" s="128">
        <f t="shared" si="320"/>
        <v>0</v>
      </c>
      <c r="FX76" s="701" t="str">
        <f t="shared" si="420"/>
        <v/>
      </c>
      <c r="FY76" s="704" t="str">
        <f t="shared" si="321"/>
        <v/>
      </c>
      <c r="FZ76" s="701">
        <f t="shared" si="421"/>
        <v>1</v>
      </c>
      <c r="GA76" s="128">
        <f t="shared" si="322"/>
        <v>0</v>
      </c>
      <c r="GB76" s="701" t="str">
        <f t="shared" si="422"/>
        <v/>
      </c>
      <c r="GC76" s="704" t="str">
        <f t="shared" si="323"/>
        <v/>
      </c>
      <c r="GD76" s="701">
        <f t="shared" si="423"/>
        <v>1</v>
      </c>
      <c r="GE76" s="128">
        <f t="shared" si="324"/>
        <v>0</v>
      </c>
      <c r="GF76" s="701" t="str">
        <f t="shared" si="424"/>
        <v/>
      </c>
      <c r="GG76" s="704" t="str">
        <f t="shared" si="325"/>
        <v/>
      </c>
      <c r="GH76" s="701">
        <f t="shared" si="326"/>
        <v>1</v>
      </c>
      <c r="GI76" s="128">
        <f t="shared" si="327"/>
        <v>0</v>
      </c>
      <c r="GJ76" s="701" t="str">
        <f t="shared" si="425"/>
        <v/>
      </c>
      <c r="GK76" s="704" t="str">
        <f t="shared" si="328"/>
        <v/>
      </c>
      <c r="GL76" s="701">
        <f t="shared" si="329"/>
        <v>1</v>
      </c>
      <c r="GM76" s="128">
        <f t="shared" si="330"/>
        <v>0</v>
      </c>
      <c r="GN76" s="701" t="str">
        <f t="shared" si="426"/>
        <v/>
      </c>
      <c r="GO76" s="704" t="str">
        <f t="shared" si="331"/>
        <v/>
      </c>
      <c r="GP76" s="701">
        <f t="shared" si="332"/>
        <v>1</v>
      </c>
      <c r="GQ76" s="128">
        <f t="shared" si="333"/>
        <v>0</v>
      </c>
      <c r="GR76" s="701" t="str">
        <f t="shared" si="427"/>
        <v/>
      </c>
      <c r="GS76" s="704" t="str">
        <f t="shared" si="334"/>
        <v/>
      </c>
      <c r="GT76" s="701">
        <f t="shared" si="335"/>
        <v>1</v>
      </c>
      <c r="GU76" s="128">
        <f t="shared" si="336"/>
        <v>0</v>
      </c>
      <c r="GV76" s="701" t="str">
        <f t="shared" si="428"/>
        <v/>
      </c>
      <c r="GW76" s="704" t="str">
        <f t="shared" si="337"/>
        <v/>
      </c>
      <c r="GX76" s="701">
        <f t="shared" si="338"/>
        <v>1</v>
      </c>
      <c r="GY76" s="128">
        <f t="shared" si="339"/>
        <v>0</v>
      </c>
      <c r="GZ76" s="701" t="str">
        <f t="shared" si="429"/>
        <v/>
      </c>
      <c r="HA76" s="704" t="str">
        <f t="shared" si="340"/>
        <v/>
      </c>
      <c r="HB76" s="701">
        <f t="shared" si="341"/>
        <v>1</v>
      </c>
      <c r="HC76" s="128">
        <f t="shared" si="342"/>
        <v>0</v>
      </c>
      <c r="HD76" s="701" t="str">
        <f t="shared" si="430"/>
        <v/>
      </c>
      <c r="HE76" s="704" t="str">
        <f t="shared" si="343"/>
        <v/>
      </c>
      <c r="HF76" s="701">
        <f t="shared" si="344"/>
        <v>1</v>
      </c>
      <c r="HG76" s="128">
        <f t="shared" si="345"/>
        <v>0</v>
      </c>
      <c r="HH76" s="701" t="str">
        <f t="shared" si="431"/>
        <v/>
      </c>
      <c r="HI76" s="704" t="str">
        <f t="shared" si="346"/>
        <v/>
      </c>
      <c r="HJ76" s="701">
        <f t="shared" si="347"/>
        <v>1</v>
      </c>
      <c r="HK76" s="128">
        <f t="shared" si="348"/>
        <v>0</v>
      </c>
      <c r="HL76" s="701" t="str">
        <f t="shared" si="432"/>
        <v/>
      </c>
      <c r="HM76" s="704" t="str">
        <f t="shared" si="349"/>
        <v/>
      </c>
      <c r="HN76" s="701">
        <f t="shared" si="350"/>
        <v>1</v>
      </c>
      <c r="HO76" s="128">
        <f t="shared" si="351"/>
        <v>0</v>
      </c>
      <c r="HP76" s="701" t="str">
        <f t="shared" si="433"/>
        <v/>
      </c>
      <c r="HQ76" s="704" t="str">
        <f t="shared" si="352"/>
        <v/>
      </c>
      <c r="HR76" s="701">
        <f t="shared" si="353"/>
        <v>1</v>
      </c>
      <c r="HS76" s="128">
        <f t="shared" si="354"/>
        <v>0</v>
      </c>
      <c r="HT76" s="701" t="str">
        <f t="shared" si="434"/>
        <v/>
      </c>
      <c r="HU76" s="704" t="str">
        <f t="shared" si="355"/>
        <v/>
      </c>
      <c r="HV76" s="701">
        <f t="shared" si="356"/>
        <v>1</v>
      </c>
      <c r="HW76" s="128">
        <f t="shared" si="357"/>
        <v>0</v>
      </c>
      <c r="HX76" s="701" t="str">
        <f t="shared" si="435"/>
        <v/>
      </c>
      <c r="HY76" s="704" t="str">
        <f t="shared" si="358"/>
        <v/>
      </c>
      <c r="HZ76" s="701">
        <f t="shared" si="359"/>
        <v>1</v>
      </c>
      <c r="IA76" s="128">
        <f t="shared" si="360"/>
        <v>0</v>
      </c>
      <c r="IB76" s="701" t="str">
        <f t="shared" si="436"/>
        <v/>
      </c>
      <c r="IC76" s="704" t="str">
        <f t="shared" si="361"/>
        <v/>
      </c>
      <c r="ID76" s="701">
        <f t="shared" si="362"/>
        <v>1</v>
      </c>
      <c r="IE76" s="128">
        <f t="shared" si="363"/>
        <v>0</v>
      </c>
      <c r="IF76" s="701" t="str">
        <f t="shared" si="437"/>
        <v/>
      </c>
      <c r="IG76" s="704" t="str">
        <f t="shared" si="364"/>
        <v/>
      </c>
      <c r="IH76" s="701">
        <f t="shared" si="365"/>
        <v>1</v>
      </c>
      <c r="II76" s="128">
        <f t="shared" si="366"/>
        <v>0</v>
      </c>
      <c r="IJ76" s="701" t="str">
        <f t="shared" si="438"/>
        <v/>
      </c>
      <c r="IK76" s="704" t="str">
        <f t="shared" si="367"/>
        <v/>
      </c>
      <c r="IL76" s="701">
        <f t="shared" si="368"/>
        <v>1</v>
      </c>
      <c r="IM76" s="128">
        <f t="shared" si="369"/>
        <v>0</v>
      </c>
      <c r="IN76" s="701" t="str">
        <f t="shared" si="439"/>
        <v/>
      </c>
      <c r="IO76" s="704" t="str">
        <f t="shared" si="370"/>
        <v/>
      </c>
      <c r="IP76" s="701">
        <f t="shared" si="371"/>
        <v>1</v>
      </c>
      <c r="IQ76" s="128">
        <f t="shared" si="372"/>
        <v>0</v>
      </c>
      <c r="IR76" s="701" t="str">
        <f t="shared" si="440"/>
        <v/>
      </c>
      <c r="IS76" s="704" t="str">
        <f t="shared" si="373"/>
        <v/>
      </c>
      <c r="IT76" s="701">
        <f t="shared" si="374"/>
        <v>1</v>
      </c>
      <c r="IU76" s="128">
        <f t="shared" si="375"/>
        <v>0</v>
      </c>
      <c r="IV76" s="701" t="str">
        <f t="shared" si="441"/>
        <v/>
      </c>
      <c r="IW76" s="704" t="str">
        <f t="shared" si="376"/>
        <v/>
      </c>
      <c r="IX76" s="701">
        <f t="shared" si="377"/>
        <v>1</v>
      </c>
      <c r="IY76" s="128">
        <f t="shared" si="378"/>
        <v>0</v>
      </c>
    </row>
    <row r="77" spans="3:259" s="2" customFormat="1" ht="13.3" thickTop="1" thickBot="1" x14ac:dyDescent="0.35">
      <c r="D77" s="1"/>
      <c r="E77" s="1"/>
      <c r="F77" s="1"/>
      <c r="G77" s="1"/>
      <c r="H77" s="1"/>
      <c r="J77" s="1"/>
      <c r="K77" s="1"/>
      <c r="L77" s="1"/>
      <c r="M77" s="1"/>
      <c r="N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T77" s="87" t="str">
        <f t="shared" si="443"/>
        <v/>
      </c>
      <c r="AU77" s="78" t="str">
        <f t="shared" si="445"/>
        <v/>
      </c>
      <c r="AV77" s="78" t="str">
        <f t="shared" si="446"/>
        <v/>
      </c>
      <c r="AW77" s="78" t="str">
        <f t="shared" si="251"/>
        <v/>
      </c>
      <c r="AX77" s="239">
        <f t="shared" si="252"/>
        <v>0</v>
      </c>
      <c r="AY77" s="239" t="str">
        <f t="shared" si="253"/>
        <v/>
      </c>
      <c r="AZ77" s="214" t="str">
        <f t="shared" si="254"/>
        <v/>
      </c>
      <c r="BA77" s="214" t="str">
        <f t="shared" si="255"/>
        <v/>
      </c>
      <c r="BB77" s="214" t="str">
        <f t="shared" si="256"/>
        <v/>
      </c>
      <c r="BC77" s="214" t="str">
        <f t="shared" si="257"/>
        <v/>
      </c>
      <c r="BD77" s="1322">
        <f t="shared" si="379"/>
        <v>24</v>
      </c>
      <c r="BE77" s="1"/>
      <c r="BF77" s="214" t="str">
        <f t="shared" si="258"/>
        <v/>
      </c>
      <c r="BG77" s="94">
        <f t="shared" si="259"/>
        <v>0</v>
      </c>
      <c r="BH77" s="94">
        <f t="shared" si="260"/>
        <v>0</v>
      </c>
      <c r="BI77" s="94">
        <f t="shared" si="261"/>
        <v>0</v>
      </c>
      <c r="BJ77" s="237">
        <f t="shared" si="380"/>
        <v>0</v>
      </c>
      <c r="BK77" s="237">
        <f t="shared" si="262"/>
        <v>0</v>
      </c>
      <c r="BL77" s="237">
        <f t="shared" si="263"/>
        <v>0</v>
      </c>
      <c r="BM77" s="237">
        <f t="shared" si="264"/>
        <v>0</v>
      </c>
      <c r="BN77" s="237">
        <f t="shared" si="265"/>
        <v>0</v>
      </c>
      <c r="BO77" s="237">
        <f t="shared" si="266"/>
        <v>0</v>
      </c>
      <c r="BP77" s="237">
        <f t="shared" si="267"/>
        <v>0</v>
      </c>
      <c r="BQ77" s="237">
        <f t="shared" si="268"/>
        <v>0</v>
      </c>
      <c r="BR77" s="237">
        <f t="shared" si="269"/>
        <v>0</v>
      </c>
      <c r="BS77" s="237">
        <f t="shared" si="270"/>
        <v>0</v>
      </c>
      <c r="BT77" s="237">
        <f t="shared" si="381"/>
        <v>0</v>
      </c>
      <c r="BU77" s="237">
        <f t="shared" si="382"/>
        <v>0</v>
      </c>
      <c r="BV77" s="237">
        <f t="shared" si="383"/>
        <v>0</v>
      </c>
      <c r="BW77" s="237">
        <f t="shared" si="384"/>
        <v>0</v>
      </c>
      <c r="BX77" s="237">
        <f t="shared" si="385"/>
        <v>0</v>
      </c>
      <c r="BY77" s="237">
        <f t="shared" si="386"/>
        <v>0</v>
      </c>
      <c r="BZ77" s="237">
        <f t="shared" si="387"/>
        <v>0</v>
      </c>
      <c r="CA77" s="237">
        <f t="shared" si="388"/>
        <v>0</v>
      </c>
      <c r="CB77" s="237">
        <f t="shared" si="389"/>
        <v>0</v>
      </c>
      <c r="CC77" s="237">
        <f t="shared" si="390"/>
        <v>0</v>
      </c>
      <c r="CD77" s="237">
        <f t="shared" si="391"/>
        <v>0</v>
      </c>
      <c r="CE77" s="237">
        <f t="shared" si="392"/>
        <v>0</v>
      </c>
      <c r="CF77" s="237">
        <f t="shared" si="393"/>
        <v>0</v>
      </c>
      <c r="CG77" s="237">
        <f t="shared" si="394"/>
        <v>0</v>
      </c>
      <c r="CH77" s="237">
        <f t="shared" si="395"/>
        <v>0</v>
      </c>
      <c r="CI77" s="3"/>
      <c r="CJ77" s="3"/>
      <c r="CK77" s="1"/>
      <c r="CL77" s="1"/>
      <c r="CM77" s="1"/>
      <c r="CN77" s="1"/>
      <c r="CO77" s="1"/>
      <c r="CP77" s="1"/>
      <c r="CQ77" s="1"/>
      <c r="CR77" s="524">
        <f t="shared" si="396"/>
        <v>0</v>
      </c>
      <c r="CT77" s="495" t="str">
        <f t="shared" si="397"/>
        <v/>
      </c>
      <c r="CU77" s="496" t="str">
        <f t="shared" si="398"/>
        <v/>
      </c>
      <c r="CV77" s="496" t="str">
        <f t="shared" si="399"/>
        <v/>
      </c>
      <c r="CW77" s="1"/>
      <c r="CX77" s="1026" t="str">
        <f t="shared" si="271"/>
        <v/>
      </c>
      <c r="CY77" s="1026" t="str">
        <f t="shared" si="272"/>
        <v/>
      </c>
      <c r="CZ77" s="1473" t="str">
        <f t="shared" si="273"/>
        <v/>
      </c>
      <c r="DA77" s="1473" t="str">
        <f t="shared" si="274"/>
        <v/>
      </c>
      <c r="DB77" s="1474" t="str">
        <f t="shared" si="275"/>
        <v/>
      </c>
      <c r="DC77" s="1474" t="str">
        <f t="shared" si="276"/>
        <v/>
      </c>
      <c r="DD77" s="1473" t="str">
        <f t="shared" si="400"/>
        <v/>
      </c>
      <c r="DE77" s="1473" t="str">
        <f t="shared" si="401"/>
        <v/>
      </c>
      <c r="DF77" s="1476" t="str">
        <f t="shared" si="277"/>
        <v/>
      </c>
      <c r="DG77" s="1476" t="str">
        <f t="shared" si="278"/>
        <v/>
      </c>
      <c r="DJ77" s="93" t="str">
        <f t="shared" si="402"/>
        <v/>
      </c>
      <c r="DK77" s="93" t="str">
        <f t="shared" si="403"/>
        <v/>
      </c>
      <c r="DL77" s="93">
        <f t="shared" si="404"/>
        <v>0</v>
      </c>
      <c r="DM77" s="93" t="str">
        <f t="shared" si="279"/>
        <v/>
      </c>
      <c r="DN77" s="33">
        <v>24</v>
      </c>
      <c r="DO77" s="93" t="str">
        <f t="shared" si="280"/>
        <v/>
      </c>
      <c r="DP77" s="1"/>
      <c r="DQ77" s="33">
        <v>24</v>
      </c>
      <c r="DR77" s="1486" t="str">
        <f t="shared" si="405"/>
        <v/>
      </c>
      <c r="DS77" s="144" t="str">
        <f t="shared" si="281"/>
        <v/>
      </c>
      <c r="DT77" s="144" t="str">
        <f t="shared" si="282"/>
        <v/>
      </c>
      <c r="DU77" s="144" t="str">
        <f t="shared" si="283"/>
        <v/>
      </c>
      <c r="DV77" s="144" t="str">
        <f t="shared" si="284"/>
        <v/>
      </c>
      <c r="DW77" s="144" t="str">
        <f t="shared" si="285"/>
        <v/>
      </c>
      <c r="DX77" s="144" t="str">
        <f t="shared" si="286"/>
        <v/>
      </c>
      <c r="DY77" s="144" t="str">
        <f t="shared" si="287"/>
        <v/>
      </c>
      <c r="DZ77" s="144" t="str">
        <f t="shared" si="288"/>
        <v/>
      </c>
      <c r="EA77" s="144" t="str">
        <f t="shared" si="289"/>
        <v/>
      </c>
      <c r="EB77" s="144" t="str">
        <f t="shared" si="290"/>
        <v/>
      </c>
      <c r="EC77" s="144" t="str">
        <f t="shared" si="291"/>
        <v/>
      </c>
      <c r="ED77" s="144" t="str">
        <f t="shared" si="292"/>
        <v/>
      </c>
      <c r="EE77" s="144" t="str">
        <f t="shared" si="293"/>
        <v/>
      </c>
      <c r="EF77" s="144" t="str">
        <f t="shared" si="294"/>
        <v/>
      </c>
      <c r="EG77" s="144" t="str">
        <f t="shared" si="295"/>
        <v/>
      </c>
      <c r="EH77" s="144" t="str">
        <f t="shared" si="296"/>
        <v/>
      </c>
      <c r="EI77" s="144" t="str">
        <f t="shared" si="297"/>
        <v/>
      </c>
      <c r="EJ77" s="144" t="str">
        <f t="shared" si="298"/>
        <v/>
      </c>
      <c r="EK77" s="144" t="str">
        <f t="shared" si="299"/>
        <v/>
      </c>
      <c r="EL77" s="144" t="str">
        <f t="shared" si="300"/>
        <v/>
      </c>
      <c r="EM77" s="144" t="str">
        <f t="shared" si="301"/>
        <v/>
      </c>
      <c r="EN77" s="720" t="str">
        <f t="shared" si="302"/>
        <v/>
      </c>
      <c r="EO77" s="720" t="str">
        <f t="shared" si="303"/>
        <v/>
      </c>
      <c r="EP77" s="720" t="str">
        <f t="shared" si="304"/>
        <v/>
      </c>
      <c r="EQ77" s="720" t="str">
        <f t="shared" si="305"/>
        <v/>
      </c>
      <c r="ER77" s="720" t="str">
        <f t="shared" si="306"/>
        <v/>
      </c>
      <c r="ES77" s="1460">
        <f t="shared" si="406"/>
        <v>0</v>
      </c>
      <c r="ET77" s="201">
        <f t="shared" si="407"/>
        <v>26</v>
      </c>
      <c r="EU77" s="137" t="str">
        <f t="shared" si="408"/>
        <v/>
      </c>
      <c r="EV77" s="290" t="str">
        <f t="shared" si="307"/>
        <v/>
      </c>
      <c r="EW77" s="290" t="str">
        <f t="shared" si="308"/>
        <v/>
      </c>
      <c r="EX77" s="725" t="str">
        <f t="shared" si="309"/>
        <v/>
      </c>
      <c r="EY77" s="1322">
        <f t="shared" si="310"/>
        <v>0</v>
      </c>
      <c r="EZ77" s="201">
        <f t="shared" si="409"/>
        <v>25</v>
      </c>
      <c r="FA77" s="1467" t="str">
        <f t="shared" si="410"/>
        <v/>
      </c>
      <c r="FB77" s="216" t="str">
        <f t="shared" si="411"/>
        <v/>
      </c>
      <c r="FC77" s="795" t="str" cm="1">
        <f t="array" ref="FC77">IF($FB77="","",INDEX($H$25:$H$49,$DN48))</f>
        <v/>
      </c>
      <c r="FD77" s="234" t="str">
        <f t="shared" si="412"/>
        <v/>
      </c>
      <c r="FE77" s="90">
        <f t="shared" si="311"/>
        <v>0</v>
      </c>
      <c r="FF77" s="711" t="str">
        <f t="shared" si="413"/>
        <v/>
      </c>
      <c r="FG77" s="712" t="str">
        <f t="shared" si="413"/>
        <v/>
      </c>
      <c r="FH77" s="701" t="str">
        <f t="shared" si="444"/>
        <v/>
      </c>
      <c r="FI77" s="704" t="str">
        <f t="shared" si="312"/>
        <v/>
      </c>
      <c r="FJ77" s="701">
        <f t="shared" si="313"/>
        <v>1</v>
      </c>
      <c r="FK77" s="128">
        <f t="shared" si="414"/>
        <v>0</v>
      </c>
      <c r="FL77" s="701" t="str">
        <f t="shared" si="415"/>
        <v/>
      </c>
      <c r="FM77" s="704" t="str">
        <f t="shared" si="314"/>
        <v/>
      </c>
      <c r="FN77" s="701">
        <f t="shared" si="315"/>
        <v>1</v>
      </c>
      <c r="FO77" s="128">
        <f t="shared" si="316"/>
        <v>0</v>
      </c>
      <c r="FP77" s="701" t="str">
        <f t="shared" si="416"/>
        <v/>
      </c>
      <c r="FQ77" s="704" t="str">
        <f t="shared" si="317"/>
        <v/>
      </c>
      <c r="FR77" s="701">
        <f t="shared" si="417"/>
        <v>1</v>
      </c>
      <c r="FS77" s="128">
        <f t="shared" si="318"/>
        <v>0</v>
      </c>
      <c r="FT77" s="701" t="str">
        <f t="shared" si="418"/>
        <v/>
      </c>
      <c r="FU77" s="704" t="str">
        <f t="shared" si="319"/>
        <v/>
      </c>
      <c r="FV77" s="701">
        <f t="shared" si="419"/>
        <v>1</v>
      </c>
      <c r="FW77" s="128">
        <f t="shared" si="320"/>
        <v>0</v>
      </c>
      <c r="FX77" s="701" t="str">
        <f t="shared" si="420"/>
        <v/>
      </c>
      <c r="FY77" s="704" t="str">
        <f t="shared" si="321"/>
        <v/>
      </c>
      <c r="FZ77" s="701">
        <f t="shared" si="421"/>
        <v>1</v>
      </c>
      <c r="GA77" s="128">
        <f t="shared" si="322"/>
        <v>0</v>
      </c>
      <c r="GB77" s="701" t="str">
        <f t="shared" si="422"/>
        <v/>
      </c>
      <c r="GC77" s="704" t="str">
        <f t="shared" si="323"/>
        <v/>
      </c>
      <c r="GD77" s="701">
        <f t="shared" si="423"/>
        <v>1</v>
      </c>
      <c r="GE77" s="128">
        <f t="shared" si="324"/>
        <v>0</v>
      </c>
      <c r="GF77" s="701" t="str">
        <f t="shared" si="424"/>
        <v/>
      </c>
      <c r="GG77" s="704" t="str">
        <f t="shared" si="325"/>
        <v/>
      </c>
      <c r="GH77" s="701">
        <f t="shared" si="326"/>
        <v>1</v>
      </c>
      <c r="GI77" s="128">
        <f t="shared" si="327"/>
        <v>0</v>
      </c>
      <c r="GJ77" s="701" t="str">
        <f t="shared" si="425"/>
        <v/>
      </c>
      <c r="GK77" s="704" t="str">
        <f t="shared" si="328"/>
        <v/>
      </c>
      <c r="GL77" s="701">
        <f t="shared" si="329"/>
        <v>1</v>
      </c>
      <c r="GM77" s="128">
        <f t="shared" si="330"/>
        <v>0</v>
      </c>
      <c r="GN77" s="701" t="str">
        <f t="shared" si="426"/>
        <v/>
      </c>
      <c r="GO77" s="704" t="str">
        <f t="shared" si="331"/>
        <v/>
      </c>
      <c r="GP77" s="701">
        <f t="shared" si="332"/>
        <v>1</v>
      </c>
      <c r="GQ77" s="128">
        <f t="shared" si="333"/>
        <v>0</v>
      </c>
      <c r="GR77" s="701" t="str">
        <f t="shared" si="427"/>
        <v/>
      </c>
      <c r="GS77" s="704" t="str">
        <f t="shared" si="334"/>
        <v/>
      </c>
      <c r="GT77" s="701">
        <f t="shared" si="335"/>
        <v>1</v>
      </c>
      <c r="GU77" s="128">
        <f t="shared" si="336"/>
        <v>0</v>
      </c>
      <c r="GV77" s="701" t="str">
        <f t="shared" si="428"/>
        <v/>
      </c>
      <c r="GW77" s="704" t="str">
        <f t="shared" si="337"/>
        <v/>
      </c>
      <c r="GX77" s="701">
        <f t="shared" si="338"/>
        <v>1</v>
      </c>
      <c r="GY77" s="128">
        <f t="shared" si="339"/>
        <v>0</v>
      </c>
      <c r="GZ77" s="701" t="str">
        <f t="shared" si="429"/>
        <v/>
      </c>
      <c r="HA77" s="704" t="str">
        <f t="shared" si="340"/>
        <v/>
      </c>
      <c r="HB77" s="701">
        <f t="shared" si="341"/>
        <v>1</v>
      </c>
      <c r="HC77" s="128">
        <f t="shared" si="342"/>
        <v>0</v>
      </c>
      <c r="HD77" s="701" t="str">
        <f t="shared" si="430"/>
        <v/>
      </c>
      <c r="HE77" s="704" t="str">
        <f t="shared" si="343"/>
        <v/>
      </c>
      <c r="HF77" s="701">
        <f t="shared" si="344"/>
        <v>1</v>
      </c>
      <c r="HG77" s="128">
        <f t="shared" si="345"/>
        <v>0</v>
      </c>
      <c r="HH77" s="701" t="str">
        <f t="shared" si="431"/>
        <v/>
      </c>
      <c r="HI77" s="704" t="str">
        <f t="shared" si="346"/>
        <v/>
      </c>
      <c r="HJ77" s="701">
        <f t="shared" si="347"/>
        <v>1</v>
      </c>
      <c r="HK77" s="128">
        <f t="shared" si="348"/>
        <v>0</v>
      </c>
      <c r="HL77" s="701" t="str">
        <f t="shared" si="432"/>
        <v/>
      </c>
      <c r="HM77" s="704" t="str">
        <f t="shared" si="349"/>
        <v/>
      </c>
      <c r="HN77" s="701">
        <f t="shared" si="350"/>
        <v>1</v>
      </c>
      <c r="HO77" s="128">
        <f t="shared" si="351"/>
        <v>0</v>
      </c>
      <c r="HP77" s="701" t="str">
        <f t="shared" si="433"/>
        <v/>
      </c>
      <c r="HQ77" s="704" t="str">
        <f t="shared" si="352"/>
        <v/>
      </c>
      <c r="HR77" s="701">
        <f t="shared" si="353"/>
        <v>1</v>
      </c>
      <c r="HS77" s="128">
        <f t="shared" si="354"/>
        <v>0</v>
      </c>
      <c r="HT77" s="701" t="str">
        <f t="shared" si="434"/>
        <v/>
      </c>
      <c r="HU77" s="704" t="str">
        <f t="shared" si="355"/>
        <v/>
      </c>
      <c r="HV77" s="701">
        <f t="shared" si="356"/>
        <v>1</v>
      </c>
      <c r="HW77" s="128">
        <f t="shared" si="357"/>
        <v>0</v>
      </c>
      <c r="HX77" s="701" t="str">
        <f t="shared" si="435"/>
        <v/>
      </c>
      <c r="HY77" s="704" t="str">
        <f t="shared" si="358"/>
        <v/>
      </c>
      <c r="HZ77" s="701">
        <f t="shared" si="359"/>
        <v>1</v>
      </c>
      <c r="IA77" s="128">
        <f t="shared" si="360"/>
        <v>0</v>
      </c>
      <c r="IB77" s="701" t="str">
        <f t="shared" si="436"/>
        <v/>
      </c>
      <c r="IC77" s="704" t="str">
        <f t="shared" si="361"/>
        <v/>
      </c>
      <c r="ID77" s="701">
        <f t="shared" si="362"/>
        <v>1</v>
      </c>
      <c r="IE77" s="128">
        <f t="shared" si="363"/>
        <v>0</v>
      </c>
      <c r="IF77" s="701" t="str">
        <f t="shared" si="437"/>
        <v/>
      </c>
      <c r="IG77" s="704" t="str">
        <f t="shared" si="364"/>
        <v/>
      </c>
      <c r="IH77" s="701">
        <f t="shared" si="365"/>
        <v>1</v>
      </c>
      <c r="II77" s="128">
        <f t="shared" si="366"/>
        <v>0</v>
      </c>
      <c r="IJ77" s="701" t="str">
        <f t="shared" si="438"/>
        <v/>
      </c>
      <c r="IK77" s="704" t="str">
        <f t="shared" si="367"/>
        <v/>
      </c>
      <c r="IL77" s="701">
        <f t="shared" si="368"/>
        <v>1</v>
      </c>
      <c r="IM77" s="128">
        <f t="shared" si="369"/>
        <v>0</v>
      </c>
      <c r="IN77" s="701" t="str">
        <f t="shared" si="439"/>
        <v/>
      </c>
      <c r="IO77" s="704" t="str">
        <f t="shared" si="370"/>
        <v/>
      </c>
      <c r="IP77" s="701">
        <f t="shared" si="371"/>
        <v>1</v>
      </c>
      <c r="IQ77" s="128">
        <f t="shared" si="372"/>
        <v>0</v>
      </c>
      <c r="IR77" s="701" t="str">
        <f t="shared" si="440"/>
        <v/>
      </c>
      <c r="IS77" s="704" t="str">
        <f t="shared" si="373"/>
        <v/>
      </c>
      <c r="IT77" s="701">
        <f t="shared" si="374"/>
        <v>1</v>
      </c>
      <c r="IU77" s="128">
        <f t="shared" si="375"/>
        <v>0</v>
      </c>
      <c r="IV77" s="701" t="str">
        <f t="shared" si="441"/>
        <v/>
      </c>
      <c r="IW77" s="704" t="str">
        <f t="shared" si="376"/>
        <v/>
      </c>
      <c r="IX77" s="701">
        <f t="shared" si="377"/>
        <v>1</v>
      </c>
      <c r="IY77" s="128">
        <f t="shared" si="378"/>
        <v>0</v>
      </c>
    </row>
    <row r="78" spans="3:259" s="2" customFormat="1" ht="13.3" thickTop="1" thickBot="1" x14ac:dyDescent="0.35">
      <c r="D78" s="1"/>
      <c r="E78" s="1"/>
      <c r="F78" s="1"/>
      <c r="G78" s="1"/>
      <c r="H78" s="1"/>
      <c r="J78" s="1"/>
      <c r="K78" s="1"/>
      <c r="L78" s="1"/>
      <c r="M78" s="1"/>
      <c r="N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T78" s="87" t="str">
        <f t="shared" si="443"/>
        <v/>
      </c>
      <c r="AU78" s="78" t="str">
        <f t="shared" si="445"/>
        <v/>
      </c>
      <c r="AV78" s="78" t="str">
        <f t="shared" si="446"/>
        <v/>
      </c>
      <c r="AW78" s="78" t="str">
        <f t="shared" si="251"/>
        <v/>
      </c>
      <c r="AX78" s="239">
        <f t="shared" si="252"/>
        <v>0</v>
      </c>
      <c r="AY78" s="239" t="str">
        <f t="shared" si="253"/>
        <v/>
      </c>
      <c r="AZ78" s="214" t="str">
        <f t="shared" si="254"/>
        <v/>
      </c>
      <c r="BA78" s="214" t="str">
        <f t="shared" si="255"/>
        <v/>
      </c>
      <c r="BB78" s="214" t="str">
        <f t="shared" si="256"/>
        <v/>
      </c>
      <c r="BC78" s="214" t="str">
        <f t="shared" si="257"/>
        <v/>
      </c>
      <c r="BD78" s="1322">
        <f t="shared" si="379"/>
        <v>25</v>
      </c>
      <c r="BE78" s="1"/>
      <c r="BF78" s="214" t="str">
        <f t="shared" si="258"/>
        <v/>
      </c>
      <c r="BG78" s="94">
        <f t="shared" si="259"/>
        <v>0</v>
      </c>
      <c r="BH78" s="94">
        <f t="shared" si="260"/>
        <v>0</v>
      </c>
      <c r="BI78" s="94">
        <f t="shared" si="261"/>
        <v>0</v>
      </c>
      <c r="BJ78" s="237">
        <f t="shared" si="380"/>
        <v>0</v>
      </c>
      <c r="BK78" s="237">
        <f t="shared" si="262"/>
        <v>0</v>
      </c>
      <c r="BL78" s="237">
        <f t="shared" si="263"/>
        <v>0</v>
      </c>
      <c r="BM78" s="237">
        <f t="shared" si="264"/>
        <v>0</v>
      </c>
      <c r="BN78" s="237">
        <f t="shared" si="265"/>
        <v>0</v>
      </c>
      <c r="BO78" s="237">
        <f t="shared" si="266"/>
        <v>0</v>
      </c>
      <c r="BP78" s="237">
        <f t="shared" si="267"/>
        <v>0</v>
      </c>
      <c r="BQ78" s="237">
        <f t="shared" si="268"/>
        <v>0</v>
      </c>
      <c r="BR78" s="237">
        <f t="shared" si="269"/>
        <v>0</v>
      </c>
      <c r="BS78" s="237">
        <f t="shared" si="270"/>
        <v>0</v>
      </c>
      <c r="BT78" s="237">
        <f t="shared" si="381"/>
        <v>0</v>
      </c>
      <c r="BU78" s="237">
        <f t="shared" si="382"/>
        <v>0</v>
      </c>
      <c r="BV78" s="237">
        <f t="shared" si="383"/>
        <v>0</v>
      </c>
      <c r="BW78" s="237">
        <f t="shared" si="384"/>
        <v>0</v>
      </c>
      <c r="BX78" s="237">
        <f t="shared" si="385"/>
        <v>0</v>
      </c>
      <c r="BY78" s="237">
        <f t="shared" si="386"/>
        <v>0</v>
      </c>
      <c r="BZ78" s="237">
        <f t="shared" si="387"/>
        <v>0</v>
      </c>
      <c r="CA78" s="237">
        <f t="shared" si="388"/>
        <v>0</v>
      </c>
      <c r="CB78" s="237">
        <f t="shared" si="389"/>
        <v>0</v>
      </c>
      <c r="CC78" s="237">
        <f t="shared" si="390"/>
        <v>0</v>
      </c>
      <c r="CD78" s="237">
        <f t="shared" si="391"/>
        <v>0</v>
      </c>
      <c r="CE78" s="237">
        <f t="shared" si="392"/>
        <v>0</v>
      </c>
      <c r="CF78" s="237">
        <f t="shared" si="393"/>
        <v>0</v>
      </c>
      <c r="CG78" s="237">
        <f t="shared" si="394"/>
        <v>0</v>
      </c>
      <c r="CH78" s="237">
        <f t="shared" si="395"/>
        <v>0</v>
      </c>
      <c r="CI78" s="3"/>
      <c r="CJ78" s="3"/>
      <c r="CK78" s="1"/>
      <c r="CL78" s="1"/>
      <c r="CM78" s="1"/>
      <c r="CN78" s="1"/>
      <c r="CO78" s="1"/>
      <c r="CP78" s="1"/>
      <c r="CQ78" s="1"/>
      <c r="CR78" s="524">
        <f t="shared" si="396"/>
        <v>0</v>
      </c>
      <c r="CT78" s="495" t="str">
        <f t="shared" si="397"/>
        <v/>
      </c>
      <c r="CU78" s="496" t="str">
        <f t="shared" si="398"/>
        <v/>
      </c>
      <c r="CV78" s="496" t="str">
        <f t="shared" si="399"/>
        <v/>
      </c>
      <c r="CW78" s="1"/>
      <c r="CX78" s="1026" t="str">
        <f t="shared" si="271"/>
        <v/>
      </c>
      <c r="CY78" s="1026" t="str">
        <f t="shared" si="272"/>
        <v/>
      </c>
      <c r="CZ78" s="1473" t="str">
        <f t="shared" si="273"/>
        <v/>
      </c>
      <c r="DA78" s="1473" t="str">
        <f t="shared" si="274"/>
        <v/>
      </c>
      <c r="DB78" s="1474" t="str">
        <f t="shared" si="275"/>
        <v/>
      </c>
      <c r="DC78" s="1474" t="str">
        <f t="shared" si="276"/>
        <v/>
      </c>
      <c r="DD78" s="1473" t="str">
        <f t="shared" si="400"/>
        <v/>
      </c>
      <c r="DE78" s="1473" t="str">
        <f t="shared" si="401"/>
        <v/>
      </c>
      <c r="DF78" s="1476" t="str">
        <f t="shared" si="277"/>
        <v/>
      </c>
      <c r="DG78" s="1476" t="str">
        <f t="shared" si="278"/>
        <v/>
      </c>
      <c r="DJ78" s="93" t="str">
        <f t="shared" si="402"/>
        <v/>
      </c>
      <c r="DK78" s="93" t="str">
        <f t="shared" si="403"/>
        <v/>
      </c>
      <c r="DL78" s="93">
        <f t="shared" si="404"/>
        <v>0</v>
      </c>
      <c r="DM78" s="93" t="str">
        <f t="shared" si="279"/>
        <v/>
      </c>
      <c r="DN78" s="33">
        <v>25</v>
      </c>
      <c r="DO78" s="93" t="str">
        <f t="shared" si="280"/>
        <v/>
      </c>
      <c r="DP78" s="1"/>
      <c r="DQ78" s="33">
        <v>25</v>
      </c>
      <c r="DR78" s="1486" t="str">
        <f t="shared" si="405"/>
        <v/>
      </c>
      <c r="DS78" s="144" t="str">
        <f t="shared" si="281"/>
        <v/>
      </c>
      <c r="DT78" s="144" t="str">
        <f t="shared" si="282"/>
        <v/>
      </c>
      <c r="DU78" s="144" t="str">
        <f t="shared" si="283"/>
        <v/>
      </c>
      <c r="DV78" s="144" t="str">
        <f t="shared" si="284"/>
        <v/>
      </c>
      <c r="DW78" s="144" t="str">
        <f t="shared" si="285"/>
        <v/>
      </c>
      <c r="DX78" s="144" t="str">
        <f t="shared" si="286"/>
        <v/>
      </c>
      <c r="DY78" s="144" t="str">
        <f t="shared" si="287"/>
        <v/>
      </c>
      <c r="DZ78" s="144" t="str">
        <f t="shared" si="288"/>
        <v/>
      </c>
      <c r="EA78" s="144" t="str">
        <f t="shared" si="289"/>
        <v/>
      </c>
      <c r="EB78" s="144" t="str">
        <f t="shared" si="290"/>
        <v/>
      </c>
      <c r="EC78" s="144" t="str">
        <f t="shared" si="291"/>
        <v/>
      </c>
      <c r="ED78" s="144" t="str">
        <f t="shared" si="292"/>
        <v/>
      </c>
      <c r="EE78" s="144" t="str">
        <f t="shared" si="293"/>
        <v/>
      </c>
      <c r="EF78" s="144" t="str">
        <f t="shared" si="294"/>
        <v/>
      </c>
      <c r="EG78" s="144" t="str">
        <f t="shared" si="295"/>
        <v/>
      </c>
      <c r="EH78" s="144" t="str">
        <f t="shared" si="296"/>
        <v/>
      </c>
      <c r="EI78" s="144" t="str">
        <f t="shared" si="297"/>
        <v/>
      </c>
      <c r="EJ78" s="144" t="str">
        <f t="shared" si="298"/>
        <v/>
      </c>
      <c r="EK78" s="144" t="str">
        <f t="shared" si="299"/>
        <v/>
      </c>
      <c r="EL78" s="144" t="str">
        <f t="shared" si="300"/>
        <v/>
      </c>
      <c r="EM78" s="144" t="str">
        <f t="shared" si="301"/>
        <v/>
      </c>
      <c r="EN78" s="720" t="str">
        <f t="shared" si="302"/>
        <v/>
      </c>
      <c r="EO78" s="720" t="str">
        <f t="shared" si="303"/>
        <v/>
      </c>
      <c r="EP78" s="720" t="str">
        <f t="shared" si="304"/>
        <v/>
      </c>
      <c r="EQ78" s="720" t="str">
        <f t="shared" si="305"/>
        <v/>
      </c>
      <c r="ER78" s="720" t="str">
        <f t="shared" si="306"/>
        <v/>
      </c>
      <c r="ES78" s="1460">
        <f t="shared" si="406"/>
        <v>0</v>
      </c>
      <c r="ET78" s="201">
        <f t="shared" si="407"/>
        <v>26</v>
      </c>
      <c r="EU78" s="137" t="str">
        <f t="shared" si="408"/>
        <v/>
      </c>
      <c r="EV78" s="290" t="str">
        <f t="shared" si="307"/>
        <v/>
      </c>
      <c r="EW78" s="290" t="str">
        <f t="shared" si="308"/>
        <v/>
      </c>
      <c r="EX78" s="725" t="str">
        <f t="shared" si="309"/>
        <v/>
      </c>
      <c r="EY78" s="1322">
        <f t="shared" si="310"/>
        <v>0</v>
      </c>
      <c r="EZ78" s="201">
        <f t="shared" si="409"/>
        <v>25</v>
      </c>
      <c r="FA78" s="1467" t="str">
        <f t="shared" si="410"/>
        <v/>
      </c>
      <c r="FB78" s="216" t="str">
        <f t="shared" si="411"/>
        <v/>
      </c>
      <c r="FC78" s="795" t="str" cm="1">
        <f t="array" ref="FC78">IF($FB78="","",INDEX($H$25:$H$49,$DN49))</f>
        <v/>
      </c>
      <c r="FD78" s="234" t="str">
        <f t="shared" si="412"/>
        <v/>
      </c>
      <c r="FE78" s="90">
        <f t="shared" si="311"/>
        <v>0</v>
      </c>
      <c r="FF78" s="711" t="str">
        <f t="shared" si="413"/>
        <v/>
      </c>
      <c r="FG78" s="712" t="str">
        <f t="shared" si="413"/>
        <v/>
      </c>
      <c r="FH78" s="701" t="str">
        <f t="shared" si="444"/>
        <v/>
      </c>
      <c r="FI78" s="704" t="str">
        <f t="shared" si="312"/>
        <v/>
      </c>
      <c r="FJ78" s="701">
        <f t="shared" si="313"/>
        <v>1</v>
      </c>
      <c r="FK78" s="128">
        <f t="shared" si="414"/>
        <v>0</v>
      </c>
      <c r="FL78" s="701" t="str">
        <f t="shared" si="415"/>
        <v/>
      </c>
      <c r="FM78" s="704" t="str">
        <f t="shared" si="314"/>
        <v/>
      </c>
      <c r="FN78" s="701">
        <f t="shared" si="315"/>
        <v>1</v>
      </c>
      <c r="FO78" s="128">
        <f t="shared" si="316"/>
        <v>0</v>
      </c>
      <c r="FP78" s="701" t="str">
        <f t="shared" si="416"/>
        <v/>
      </c>
      <c r="FQ78" s="704" t="str">
        <f t="shared" si="317"/>
        <v/>
      </c>
      <c r="FR78" s="701">
        <f t="shared" si="417"/>
        <v>1</v>
      </c>
      <c r="FS78" s="128">
        <f t="shared" si="318"/>
        <v>0</v>
      </c>
      <c r="FT78" s="701" t="str">
        <f t="shared" si="418"/>
        <v/>
      </c>
      <c r="FU78" s="704" t="str">
        <f t="shared" si="319"/>
        <v/>
      </c>
      <c r="FV78" s="701">
        <f t="shared" si="419"/>
        <v>1</v>
      </c>
      <c r="FW78" s="128">
        <f t="shared" si="320"/>
        <v>0</v>
      </c>
      <c r="FX78" s="701" t="str">
        <f t="shared" si="420"/>
        <v/>
      </c>
      <c r="FY78" s="704" t="str">
        <f t="shared" si="321"/>
        <v/>
      </c>
      <c r="FZ78" s="701">
        <f t="shared" si="421"/>
        <v>1</v>
      </c>
      <c r="GA78" s="128">
        <f t="shared" si="322"/>
        <v>0</v>
      </c>
      <c r="GB78" s="701" t="str">
        <f t="shared" si="422"/>
        <v/>
      </c>
      <c r="GC78" s="704" t="str">
        <f t="shared" si="323"/>
        <v/>
      </c>
      <c r="GD78" s="701">
        <f t="shared" si="423"/>
        <v>1</v>
      </c>
      <c r="GE78" s="128">
        <f t="shared" si="324"/>
        <v>0</v>
      </c>
      <c r="GF78" s="701" t="str">
        <f t="shared" si="424"/>
        <v/>
      </c>
      <c r="GG78" s="704" t="str">
        <f t="shared" si="325"/>
        <v/>
      </c>
      <c r="GH78" s="701">
        <f t="shared" si="326"/>
        <v>1</v>
      </c>
      <c r="GI78" s="128">
        <f t="shared" si="327"/>
        <v>0</v>
      </c>
      <c r="GJ78" s="701" t="str">
        <f t="shared" si="425"/>
        <v/>
      </c>
      <c r="GK78" s="704" t="str">
        <f t="shared" si="328"/>
        <v/>
      </c>
      <c r="GL78" s="701">
        <f t="shared" si="329"/>
        <v>1</v>
      </c>
      <c r="GM78" s="128">
        <f t="shared" si="330"/>
        <v>0</v>
      </c>
      <c r="GN78" s="701" t="str">
        <f t="shared" si="426"/>
        <v/>
      </c>
      <c r="GO78" s="704" t="str">
        <f t="shared" si="331"/>
        <v/>
      </c>
      <c r="GP78" s="701">
        <f t="shared" si="332"/>
        <v>1</v>
      </c>
      <c r="GQ78" s="128">
        <f t="shared" si="333"/>
        <v>0</v>
      </c>
      <c r="GR78" s="701" t="str">
        <f t="shared" si="427"/>
        <v/>
      </c>
      <c r="GS78" s="704" t="str">
        <f t="shared" si="334"/>
        <v/>
      </c>
      <c r="GT78" s="701">
        <f t="shared" si="335"/>
        <v>1</v>
      </c>
      <c r="GU78" s="128">
        <f t="shared" si="336"/>
        <v>0</v>
      </c>
      <c r="GV78" s="701" t="str">
        <f t="shared" si="428"/>
        <v/>
      </c>
      <c r="GW78" s="704" t="str">
        <f t="shared" si="337"/>
        <v/>
      </c>
      <c r="GX78" s="701">
        <f t="shared" si="338"/>
        <v>1</v>
      </c>
      <c r="GY78" s="128">
        <f t="shared" si="339"/>
        <v>0</v>
      </c>
      <c r="GZ78" s="701" t="str">
        <f t="shared" si="429"/>
        <v/>
      </c>
      <c r="HA78" s="704" t="str">
        <f t="shared" si="340"/>
        <v/>
      </c>
      <c r="HB78" s="701">
        <f t="shared" si="341"/>
        <v>1</v>
      </c>
      <c r="HC78" s="128">
        <f t="shared" si="342"/>
        <v>0</v>
      </c>
      <c r="HD78" s="701" t="str">
        <f t="shared" si="430"/>
        <v/>
      </c>
      <c r="HE78" s="704" t="str">
        <f t="shared" si="343"/>
        <v/>
      </c>
      <c r="HF78" s="701">
        <f t="shared" si="344"/>
        <v>1</v>
      </c>
      <c r="HG78" s="128">
        <f t="shared" si="345"/>
        <v>0</v>
      </c>
      <c r="HH78" s="701" t="str">
        <f t="shared" si="431"/>
        <v/>
      </c>
      <c r="HI78" s="704" t="str">
        <f t="shared" si="346"/>
        <v/>
      </c>
      <c r="HJ78" s="701">
        <f t="shared" si="347"/>
        <v>1</v>
      </c>
      <c r="HK78" s="128">
        <f t="shared" si="348"/>
        <v>0</v>
      </c>
      <c r="HL78" s="701" t="str">
        <f t="shared" si="432"/>
        <v/>
      </c>
      <c r="HM78" s="704" t="str">
        <f t="shared" si="349"/>
        <v/>
      </c>
      <c r="HN78" s="701">
        <f t="shared" si="350"/>
        <v>1</v>
      </c>
      <c r="HO78" s="128">
        <f t="shared" si="351"/>
        <v>0</v>
      </c>
      <c r="HP78" s="701" t="str">
        <f t="shared" si="433"/>
        <v/>
      </c>
      <c r="HQ78" s="704" t="str">
        <f t="shared" si="352"/>
        <v/>
      </c>
      <c r="HR78" s="701">
        <f t="shared" si="353"/>
        <v>1</v>
      </c>
      <c r="HS78" s="128">
        <f t="shared" si="354"/>
        <v>0</v>
      </c>
      <c r="HT78" s="701" t="str">
        <f t="shared" si="434"/>
        <v/>
      </c>
      <c r="HU78" s="704" t="str">
        <f t="shared" si="355"/>
        <v/>
      </c>
      <c r="HV78" s="701">
        <f t="shared" si="356"/>
        <v>1</v>
      </c>
      <c r="HW78" s="128">
        <f t="shared" si="357"/>
        <v>0</v>
      </c>
      <c r="HX78" s="701" t="str">
        <f t="shared" si="435"/>
        <v/>
      </c>
      <c r="HY78" s="704" t="str">
        <f t="shared" si="358"/>
        <v/>
      </c>
      <c r="HZ78" s="701">
        <f t="shared" si="359"/>
        <v>1</v>
      </c>
      <c r="IA78" s="128">
        <f t="shared" si="360"/>
        <v>0</v>
      </c>
      <c r="IB78" s="701" t="str">
        <f t="shared" si="436"/>
        <v/>
      </c>
      <c r="IC78" s="704" t="str">
        <f t="shared" si="361"/>
        <v/>
      </c>
      <c r="ID78" s="701">
        <f t="shared" si="362"/>
        <v>1</v>
      </c>
      <c r="IE78" s="128">
        <f t="shared" si="363"/>
        <v>0</v>
      </c>
      <c r="IF78" s="701" t="str">
        <f t="shared" si="437"/>
        <v/>
      </c>
      <c r="IG78" s="704" t="str">
        <f t="shared" si="364"/>
        <v/>
      </c>
      <c r="IH78" s="701">
        <f t="shared" si="365"/>
        <v>1</v>
      </c>
      <c r="II78" s="128">
        <f t="shared" si="366"/>
        <v>0</v>
      </c>
      <c r="IJ78" s="701" t="str">
        <f t="shared" si="438"/>
        <v/>
      </c>
      <c r="IK78" s="704" t="str">
        <f t="shared" si="367"/>
        <v/>
      </c>
      <c r="IL78" s="701">
        <f t="shared" si="368"/>
        <v>1</v>
      </c>
      <c r="IM78" s="128">
        <f t="shared" si="369"/>
        <v>0</v>
      </c>
      <c r="IN78" s="701" t="str">
        <f t="shared" si="439"/>
        <v/>
      </c>
      <c r="IO78" s="704" t="str">
        <f t="shared" si="370"/>
        <v/>
      </c>
      <c r="IP78" s="701">
        <f t="shared" si="371"/>
        <v>1</v>
      </c>
      <c r="IQ78" s="128">
        <f t="shared" si="372"/>
        <v>0</v>
      </c>
      <c r="IR78" s="701" t="str">
        <f t="shared" si="440"/>
        <v/>
      </c>
      <c r="IS78" s="704" t="str">
        <f t="shared" si="373"/>
        <v/>
      </c>
      <c r="IT78" s="701">
        <f t="shared" si="374"/>
        <v>1</v>
      </c>
      <c r="IU78" s="128">
        <f t="shared" si="375"/>
        <v>0</v>
      </c>
      <c r="IV78" s="701" t="str">
        <f t="shared" si="441"/>
        <v/>
      </c>
      <c r="IW78" s="704" t="str">
        <f t="shared" si="376"/>
        <v/>
      </c>
      <c r="IX78" s="701">
        <f t="shared" si="377"/>
        <v>1</v>
      </c>
      <c r="IY78" s="128">
        <f t="shared" si="378"/>
        <v>0</v>
      </c>
    </row>
    <row r="79" spans="3:259" ht="13.3" thickTop="1" thickBot="1" x14ac:dyDescent="0.35">
      <c r="AT79" s="1"/>
      <c r="AU79" s="1"/>
      <c r="AV79" s="1"/>
      <c r="AW79" s="1"/>
      <c r="AX79" s="240">
        <f>IF(BD79&lt;&gt;"",LOOKUP(BD79,$DN$54:$DN$78,AX54:AX78),IF(AT85="S1",MIN($AX$54:$AX$78),MAX($AX$54:$AX$78)))</f>
        <v>0</v>
      </c>
      <c r="BA79" s="494" t="s">
        <v>610</v>
      </c>
      <c r="BB79" s="216" t="str">
        <f>IF(BC79=0,"",MATCH(BC79,$BC$54:$BC$78,0))</f>
        <v/>
      </c>
      <c r="BC79" s="767">
        <f>MAX($BC$54:$BC$78)</f>
        <v>0</v>
      </c>
      <c r="BD79" s="1324">
        <f>IF(MAX(BD54:BD78)=0,"",MAX(BD54:BD78))</f>
        <v>25</v>
      </c>
      <c r="CI79" s="3"/>
      <c r="CJ79" s="3"/>
      <c r="CR79" s="524">
        <f t="shared" si="396"/>
        <v>0</v>
      </c>
      <c r="CT79" s="495" t="str">
        <f t="shared" si="397"/>
        <v/>
      </c>
      <c r="CU79" s="496" t="str">
        <f t="shared" si="398"/>
        <v/>
      </c>
      <c r="CV79" s="496" t="str">
        <f t="shared" si="399"/>
        <v/>
      </c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Y79" s="33" t="s">
        <v>604</v>
      </c>
      <c r="EZ79" s="33"/>
      <c r="FA79" s="33"/>
      <c r="FB79" s="33"/>
      <c r="FD79" s="31"/>
      <c r="FE79" s="31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  <c r="IX79" s="77"/>
      <c r="IY79" s="77"/>
    </row>
    <row r="80" spans="3:259" ht="13.3" thickTop="1" thickBot="1" x14ac:dyDescent="0.35">
      <c r="BA80" s="494" t="s">
        <v>611</v>
      </c>
      <c r="BB80" s="216" t="str">
        <f>IF(BC80=0,"",IF(AND(BC79&gt;0,BC80&gt;0,BC79=BC80),MAX(BB54:BB78),MATCH(BC80,$BC$54:$BC$78,0)))</f>
        <v/>
      </c>
      <c r="BC80" s="767">
        <f>MIN($BC$54:$BC$78)</f>
        <v>0</v>
      </c>
      <c r="CI80" s="3"/>
      <c r="CJ80" s="3"/>
      <c r="DS80" s="33"/>
      <c r="DT80" s="33"/>
      <c r="DU80" s="33"/>
      <c r="DV80" s="33"/>
      <c r="DW80" s="33"/>
      <c r="DX80" s="33"/>
      <c r="DY80" s="33"/>
      <c r="DZ80" s="33"/>
      <c r="EA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X80" s="216"/>
      <c r="EY80" s="770" t="str">
        <f>IF($FC$53=0,"",1)</f>
        <v/>
      </c>
      <c r="EZ80" s="794" t="str">
        <f>IF(EY80&lt;&gt;"",SMALL($FC$54:$FC$78,EY80),"")</f>
        <v/>
      </c>
      <c r="FA80" s="7" t="str">
        <f>IF(EZ80="","",MATCH(EZ80,$FC$54:$FC$78,0))</f>
        <v/>
      </c>
      <c r="FB80" s="7" t="str" cm="1">
        <f t="array" ref="FB80">IF(FA80="","",INDEX($FB$54:$FB$78,FA80))</f>
        <v/>
      </c>
      <c r="FC80" s="727" t="s">
        <v>124</v>
      </c>
      <c r="FD80" s="120"/>
      <c r="FE80" s="120"/>
      <c r="FF80" s="120"/>
      <c r="FG80" s="450">
        <f>FG22</f>
        <v>1</v>
      </c>
      <c r="FH80" s="33"/>
      <c r="FI80" s="450">
        <f>FG80+1</f>
        <v>2</v>
      </c>
      <c r="FL80" s="450">
        <f>FI80+1</f>
        <v>3</v>
      </c>
      <c r="FP80" s="450">
        <f>FL80+1</f>
        <v>4</v>
      </c>
      <c r="FT80" s="450">
        <f>FP80+1</f>
        <v>5</v>
      </c>
      <c r="FX80" s="450">
        <f>FT80+1</f>
        <v>6</v>
      </c>
      <c r="GB80" s="450">
        <f>FX80+1</f>
        <v>7</v>
      </c>
      <c r="GF80" s="450">
        <f>GB80+1</f>
        <v>8</v>
      </c>
      <c r="GJ80" s="450">
        <f>GF80+1</f>
        <v>9</v>
      </c>
      <c r="GN80" s="450">
        <f>GJ80+1</f>
        <v>10</v>
      </c>
      <c r="GR80" s="450">
        <f>GN80+1</f>
        <v>11</v>
      </c>
      <c r="GV80" s="450">
        <f>GR80+1</f>
        <v>12</v>
      </c>
      <c r="GZ80" s="450">
        <f>GV80+1</f>
        <v>13</v>
      </c>
      <c r="HD80" s="450">
        <f>GZ80+1</f>
        <v>14</v>
      </c>
      <c r="HH80" s="450">
        <f>HD80+1</f>
        <v>15</v>
      </c>
      <c r="HL80" s="450">
        <f>HH80+1</f>
        <v>16</v>
      </c>
      <c r="HP80" s="450">
        <f>HL80+1</f>
        <v>17</v>
      </c>
      <c r="HT80" s="450">
        <f>HP80+1</f>
        <v>18</v>
      </c>
      <c r="HX80" s="450">
        <f>HT80+1</f>
        <v>19</v>
      </c>
      <c r="IB80" s="450">
        <f>HX80+1</f>
        <v>20</v>
      </c>
      <c r="IF80" s="450">
        <f>IB80+1</f>
        <v>21</v>
      </c>
      <c r="IJ80" s="450">
        <f>IF80+1</f>
        <v>22</v>
      </c>
      <c r="IN80" s="450">
        <f>IJ80+1</f>
        <v>23</v>
      </c>
      <c r="IR80" s="450">
        <f>IN80+1</f>
        <v>24</v>
      </c>
      <c r="IV80" s="450">
        <f>IR80+1</f>
        <v>25</v>
      </c>
    </row>
    <row r="81" spans="46:259" ht="15" thickTop="1" thickBot="1" x14ac:dyDescent="0.35">
      <c r="AT81" s="1372"/>
      <c r="AU81" s="1372"/>
      <c r="AV81" s="1372"/>
      <c r="AW81" s="1372"/>
      <c r="AX81" s="1373"/>
      <c r="AY81" s="1373"/>
      <c r="AZ81" s="1373"/>
      <c r="BA81" s="1373"/>
      <c r="BB81" s="1374" t="s">
        <v>595</v>
      </c>
      <c r="BC81" s="1373"/>
      <c r="BD81" s="1373"/>
      <c r="BE81" s="1373"/>
      <c r="BF81" s="1373"/>
      <c r="BG81" s="1373"/>
      <c r="CI81" s="3"/>
      <c r="CJ81" s="3"/>
      <c r="EF81" s="33"/>
      <c r="EG81" s="33"/>
      <c r="EH81" s="33"/>
      <c r="EI81" s="33"/>
      <c r="EJ81" s="33"/>
      <c r="EK81" s="33"/>
      <c r="EL81" s="33"/>
      <c r="EM81" s="33"/>
      <c r="EO81" s="33"/>
      <c r="EP81" s="33"/>
      <c r="EQ81" s="33"/>
      <c r="EY81" s="770" t="str">
        <f>IF($FC$53=0,"",IF(EY80&lt;$FC$53,EY80+1,IF(EY80=$FC$53,"","")))</f>
        <v/>
      </c>
      <c r="EZ81" s="794" t="str">
        <f>IF(EY81&lt;&gt;"",SMALL($FC$54:$FC$78,EY81),"")</f>
        <v/>
      </c>
      <c r="FA81" s="7" t="str">
        <f t="shared" ref="FA81:FA89" si="447">IF(EZ81="","",MATCH(EZ81,$FC$54:$FC$78,0))</f>
        <v/>
      </c>
      <c r="FB81" s="7" t="str" cm="1">
        <f t="array" ref="FB81">IF(FA81="","",INDEX($FB$54:$FB$78,FA81))</f>
        <v/>
      </c>
      <c r="FC81" s="127" t="s">
        <v>129</v>
      </c>
      <c r="FD81" s="72"/>
      <c r="FE81" s="73"/>
      <c r="FF81" s="60" t="s">
        <v>77</v>
      </c>
      <c r="FG81" s="61" t="s">
        <v>75</v>
      </c>
      <c r="FH81" s="714" t="s">
        <v>332</v>
      </c>
      <c r="FI81" s="61" t="s">
        <v>73</v>
      </c>
      <c r="FJ81" s="59"/>
      <c r="FK81" s="63" t="s">
        <v>74</v>
      </c>
      <c r="FL81" s="64"/>
      <c r="FM81" s="62" t="s">
        <v>73</v>
      </c>
      <c r="FN81" s="59"/>
      <c r="FO81" s="63" t="s">
        <v>74</v>
      </c>
      <c r="FP81" s="148"/>
      <c r="FQ81" s="150" t="s">
        <v>73</v>
      </c>
      <c r="FR81" s="149"/>
      <c r="FS81" s="152" t="s">
        <v>74</v>
      </c>
      <c r="FT81" s="148"/>
      <c r="FU81" s="150" t="s">
        <v>73</v>
      </c>
      <c r="FV81" s="149"/>
      <c r="FW81" s="152" t="s">
        <v>74</v>
      </c>
      <c r="FX81" s="148"/>
      <c r="FY81" s="150" t="s">
        <v>73</v>
      </c>
      <c r="FZ81" s="149"/>
      <c r="GA81" s="152" t="s">
        <v>74</v>
      </c>
      <c r="GB81" s="148"/>
      <c r="GC81" s="150" t="s">
        <v>73</v>
      </c>
      <c r="GD81" s="149"/>
      <c r="GE81" s="152" t="s">
        <v>74</v>
      </c>
      <c r="GF81" s="148"/>
      <c r="GG81" s="150" t="s">
        <v>73</v>
      </c>
      <c r="GH81" s="149"/>
      <c r="GI81" s="152" t="s">
        <v>74</v>
      </c>
      <c r="GJ81" s="148"/>
      <c r="GK81" s="150" t="s">
        <v>73</v>
      </c>
      <c r="GL81" s="149"/>
      <c r="GM81" s="152" t="s">
        <v>74</v>
      </c>
      <c r="GN81" s="148"/>
      <c r="GO81" s="150" t="s">
        <v>73</v>
      </c>
      <c r="GP81" s="149"/>
      <c r="GQ81" s="152" t="s">
        <v>74</v>
      </c>
      <c r="GR81" s="148"/>
      <c r="GS81" s="150" t="s">
        <v>73</v>
      </c>
      <c r="GT81" s="149"/>
      <c r="GU81" s="152" t="s">
        <v>74</v>
      </c>
      <c r="GV81" s="148"/>
      <c r="GW81" s="150" t="s">
        <v>73</v>
      </c>
      <c r="GX81" s="149"/>
      <c r="GY81" s="152" t="s">
        <v>74</v>
      </c>
      <c r="GZ81" s="148"/>
      <c r="HA81" s="150" t="s">
        <v>73</v>
      </c>
      <c r="HB81" s="149"/>
      <c r="HC81" s="152" t="s">
        <v>74</v>
      </c>
      <c r="HD81" s="148"/>
      <c r="HE81" s="150" t="s">
        <v>73</v>
      </c>
      <c r="HF81" s="149"/>
      <c r="HG81" s="152" t="s">
        <v>74</v>
      </c>
      <c r="HH81" s="148"/>
      <c r="HI81" s="150" t="s">
        <v>73</v>
      </c>
      <c r="HJ81" s="149"/>
      <c r="HK81" s="152" t="s">
        <v>74</v>
      </c>
      <c r="HL81" s="148"/>
      <c r="HM81" s="150" t="s">
        <v>73</v>
      </c>
      <c r="HN81" s="149"/>
      <c r="HO81" s="152" t="s">
        <v>74</v>
      </c>
      <c r="HP81" s="148"/>
      <c r="HQ81" s="150" t="s">
        <v>73</v>
      </c>
      <c r="HR81" s="149"/>
      <c r="HS81" s="152" t="s">
        <v>74</v>
      </c>
      <c r="HT81" s="148"/>
      <c r="HU81" s="150" t="s">
        <v>73</v>
      </c>
      <c r="HV81" s="149"/>
      <c r="HW81" s="152" t="s">
        <v>74</v>
      </c>
      <c r="HX81" s="148"/>
      <c r="HY81" s="150" t="s">
        <v>73</v>
      </c>
      <c r="HZ81" s="149"/>
      <c r="IA81" s="152" t="s">
        <v>74</v>
      </c>
      <c r="IB81" s="148"/>
      <c r="IC81" s="150" t="s">
        <v>73</v>
      </c>
      <c r="ID81" s="149"/>
      <c r="IE81" s="152" t="s">
        <v>74</v>
      </c>
      <c r="IF81" s="148"/>
      <c r="IG81" s="150" t="s">
        <v>73</v>
      </c>
      <c r="IH81" s="149"/>
      <c r="II81" s="152" t="s">
        <v>74</v>
      </c>
      <c r="IJ81" s="148"/>
      <c r="IK81" s="150" t="s">
        <v>73</v>
      </c>
      <c r="IL81" s="149"/>
      <c r="IM81" s="152" t="s">
        <v>74</v>
      </c>
      <c r="IN81" s="148"/>
      <c r="IO81" s="150" t="s">
        <v>73</v>
      </c>
      <c r="IP81" s="149"/>
      <c r="IQ81" s="152" t="s">
        <v>74</v>
      </c>
      <c r="IR81" s="148"/>
      <c r="IS81" s="150" t="s">
        <v>73</v>
      </c>
      <c r="IT81" s="149"/>
      <c r="IU81" s="152" t="s">
        <v>74</v>
      </c>
      <c r="IV81" s="148"/>
      <c r="IW81" s="150" t="s">
        <v>73</v>
      </c>
      <c r="IX81" s="149"/>
      <c r="IY81" s="152" t="s">
        <v>74</v>
      </c>
    </row>
    <row r="82" spans="46:259" ht="18" customHeight="1" thickTop="1" thickBot="1" x14ac:dyDescent="0.35">
      <c r="AT82" s="1375" t="s">
        <v>563</v>
      </c>
      <c r="AU82" s="1372"/>
      <c r="AV82" s="1372"/>
      <c r="AW82" s="1372"/>
      <c r="AX82" s="1373"/>
      <c r="AY82" s="1373"/>
      <c r="AZ82" s="1373"/>
      <c r="BA82" s="1373"/>
      <c r="BB82" s="1374" t="s">
        <v>594</v>
      </c>
      <c r="BC82" s="1373"/>
      <c r="BD82" s="1373"/>
      <c r="BE82" s="1373"/>
      <c r="BF82" s="1373"/>
      <c r="BG82" s="1373"/>
      <c r="CI82" s="3"/>
      <c r="CJ82" s="3"/>
      <c r="EB82" s="33"/>
      <c r="EF82" s="33"/>
      <c r="EG82" s="33"/>
      <c r="EH82" s="33"/>
      <c r="EI82" s="33"/>
      <c r="EJ82" s="33"/>
      <c r="EK82" s="33"/>
      <c r="EL82" s="33"/>
      <c r="EM82" s="33"/>
      <c r="EO82" s="33"/>
      <c r="EP82" s="33"/>
      <c r="EQ82" s="33"/>
      <c r="EW82" s="494" t="s">
        <v>539</v>
      </c>
      <c r="EY82" s="770" t="str">
        <f t="shared" ref="EY82:EY89" si="448">IF($FC$53=0,"",IF(EY81&lt;$FC$53,EY81+1,IF(EY81=$FC$53,"","")))</f>
        <v/>
      </c>
      <c r="EZ82" s="794" t="str">
        <f t="shared" ref="EZ82:EZ89" si="449">IF(EY82&lt;&gt;"",SMALL($FC$54:$FC$78,EY82),"")</f>
        <v/>
      </c>
      <c r="FA82" s="7" t="str">
        <f t="shared" si="447"/>
        <v/>
      </c>
      <c r="FB82" s="7" t="str" cm="1">
        <f t="array" ref="FB82">IF(FA82="","",INDEX($FB$54:$FB$78,FA82))</f>
        <v/>
      </c>
      <c r="FC82" s="115" t="s">
        <v>130</v>
      </c>
      <c r="FD82" s="75"/>
      <c r="FE82" s="91">
        <f>MAX(FE83:FE107)</f>
        <v>0</v>
      </c>
      <c r="FF82" s="15"/>
      <c r="FG82" s="67"/>
      <c r="FH82" s="713" t="s">
        <v>40</v>
      </c>
      <c r="FI82" s="68"/>
      <c r="FJ82" s="67"/>
      <c r="FK82" s="69" t="s">
        <v>76</v>
      </c>
      <c r="FL82" s="16"/>
      <c r="FM82" s="67"/>
      <c r="FN82" s="67"/>
      <c r="FO82" s="69" t="s">
        <v>76</v>
      </c>
      <c r="FP82" s="16"/>
      <c r="FQ82" s="151"/>
      <c r="FR82" s="151"/>
      <c r="FS82" s="153" t="s">
        <v>76</v>
      </c>
      <c r="FT82" s="16"/>
      <c r="FU82" s="151"/>
      <c r="FV82" s="151"/>
      <c r="FW82" s="153" t="s">
        <v>76</v>
      </c>
      <c r="FX82" s="16"/>
      <c r="FY82" s="151"/>
      <c r="FZ82" s="151"/>
      <c r="GA82" s="153" t="s">
        <v>76</v>
      </c>
      <c r="GB82" s="16"/>
      <c r="GC82" s="151"/>
      <c r="GD82" s="151"/>
      <c r="GE82" s="153" t="s">
        <v>76</v>
      </c>
      <c r="GF82" s="16"/>
      <c r="GG82" s="151"/>
      <c r="GH82" s="151"/>
      <c r="GI82" s="153" t="s">
        <v>76</v>
      </c>
      <c r="GJ82" s="16"/>
      <c r="GK82" s="151"/>
      <c r="GL82" s="151"/>
      <c r="GM82" s="153" t="s">
        <v>76</v>
      </c>
      <c r="GN82" s="16"/>
      <c r="GO82" s="151"/>
      <c r="GP82" s="151"/>
      <c r="GQ82" s="153" t="s">
        <v>76</v>
      </c>
      <c r="GR82" s="16"/>
      <c r="GS82" s="151"/>
      <c r="GT82" s="151"/>
      <c r="GU82" s="153" t="s">
        <v>76</v>
      </c>
      <c r="GV82" s="16"/>
      <c r="GW82" s="151"/>
      <c r="GX82" s="151"/>
      <c r="GY82" s="153" t="s">
        <v>76</v>
      </c>
      <c r="GZ82" s="16"/>
      <c r="HA82" s="151"/>
      <c r="HB82" s="151"/>
      <c r="HC82" s="153" t="s">
        <v>76</v>
      </c>
      <c r="HD82" s="16"/>
      <c r="HE82" s="151"/>
      <c r="HF82" s="151"/>
      <c r="HG82" s="153" t="s">
        <v>76</v>
      </c>
      <c r="HH82" s="16"/>
      <c r="HI82" s="151"/>
      <c r="HJ82" s="151"/>
      <c r="HK82" s="153" t="s">
        <v>76</v>
      </c>
      <c r="HL82" s="16"/>
      <c r="HM82" s="151"/>
      <c r="HN82" s="151"/>
      <c r="HO82" s="153" t="s">
        <v>76</v>
      </c>
      <c r="HP82" s="16"/>
      <c r="HQ82" s="151"/>
      <c r="HR82" s="151"/>
      <c r="HS82" s="153" t="s">
        <v>76</v>
      </c>
      <c r="HT82" s="16"/>
      <c r="HU82" s="151"/>
      <c r="HV82" s="151"/>
      <c r="HW82" s="153" t="s">
        <v>76</v>
      </c>
      <c r="HX82" s="16"/>
      <c r="HY82" s="151"/>
      <c r="HZ82" s="151"/>
      <c r="IA82" s="153" t="s">
        <v>76</v>
      </c>
      <c r="IB82" s="16"/>
      <c r="IC82" s="151"/>
      <c r="ID82" s="151"/>
      <c r="IE82" s="153" t="s">
        <v>76</v>
      </c>
      <c r="IF82" s="16"/>
      <c r="IG82" s="151"/>
      <c r="IH82" s="151"/>
      <c r="II82" s="153" t="s">
        <v>76</v>
      </c>
      <c r="IJ82" s="16"/>
      <c r="IK82" s="151"/>
      <c r="IL82" s="151"/>
      <c r="IM82" s="153" t="s">
        <v>76</v>
      </c>
      <c r="IN82" s="16"/>
      <c r="IO82" s="151"/>
      <c r="IP82" s="151"/>
      <c r="IQ82" s="153" t="s">
        <v>76</v>
      </c>
      <c r="IR82" s="16"/>
      <c r="IS82" s="151"/>
      <c r="IT82" s="151"/>
      <c r="IU82" s="153" t="s">
        <v>76</v>
      </c>
      <c r="IV82" s="16"/>
      <c r="IW82" s="151"/>
      <c r="IX82" s="151"/>
      <c r="IY82" s="153" t="s">
        <v>76</v>
      </c>
    </row>
    <row r="83" spans="46:259" ht="18" thickTop="1" thickBot="1" x14ac:dyDescent="0.35">
      <c r="AT83" s="241"/>
      <c r="AU83" s="506" t="s">
        <v>560</v>
      </c>
      <c r="AV83" s="142" t="s">
        <v>279</v>
      </c>
      <c r="AW83" s="142" t="s">
        <v>278</v>
      </c>
      <c r="AX83" s="2"/>
      <c r="AY83" s="290" t="s">
        <v>74</v>
      </c>
      <c r="AZ83" s="142" t="s">
        <v>278</v>
      </c>
      <c r="BA83" s="142" t="s">
        <v>279</v>
      </c>
      <c r="BB83" s="1321"/>
      <c r="BC83" s="142" t="s">
        <v>279</v>
      </c>
      <c r="BE83" s="142" t="s">
        <v>279</v>
      </c>
      <c r="BI83" s="101" t="s">
        <v>142</v>
      </c>
      <c r="BJ83" s="104" t="s">
        <v>137</v>
      </c>
      <c r="BK83" s="104" t="s">
        <v>55</v>
      </c>
      <c r="BL83" s="103" t="s">
        <v>42</v>
      </c>
      <c r="BM83" s="108" t="s">
        <v>204</v>
      </c>
      <c r="BN83" s="10" t="s">
        <v>56</v>
      </c>
      <c r="BO83" s="12" t="s">
        <v>57</v>
      </c>
      <c r="BP83" s="5" t="s">
        <v>58</v>
      </c>
      <c r="BQ83" s="105" t="s">
        <v>59</v>
      </c>
      <c r="BU83" s="102" t="s">
        <v>136</v>
      </c>
      <c r="BV83" s="107" t="s">
        <v>135</v>
      </c>
      <c r="BW83" s="173" t="s">
        <v>133</v>
      </c>
      <c r="BX83" s="104" t="s">
        <v>55</v>
      </c>
      <c r="BY83" s="131" t="s">
        <v>132</v>
      </c>
      <c r="BZ83" s="132" t="s">
        <v>132</v>
      </c>
      <c r="CI83" s="3"/>
      <c r="CJ83" s="3"/>
      <c r="EB83" s="33"/>
      <c r="EC83" s="33"/>
      <c r="ED83" s="33"/>
      <c r="EF83" s="33"/>
      <c r="EG83" s="33"/>
      <c r="EH83" s="33"/>
      <c r="EI83" s="33"/>
      <c r="EJ83" s="33"/>
      <c r="EK83" s="33"/>
      <c r="EL83" s="33"/>
      <c r="EM83" s="33"/>
      <c r="EO83" s="33"/>
      <c r="EP83" s="33"/>
      <c r="EQ83" s="33"/>
      <c r="EW83" s="33">
        <v>1</v>
      </c>
      <c r="EY83" s="770" t="str">
        <f t="shared" si="448"/>
        <v/>
      </c>
      <c r="EZ83" s="794" t="str">
        <f t="shared" si="449"/>
        <v/>
      </c>
      <c r="FA83" s="7" t="str">
        <f t="shared" si="447"/>
        <v/>
      </c>
      <c r="FB83" s="7" t="str" cm="1">
        <f t="array" ref="FB83">IF(FA83="","",INDEX($FB$54:$FB$78,FA83))</f>
        <v/>
      </c>
      <c r="FC83" s="121" t="str">
        <f t="shared" ref="FC83:FC107" si="450">IF(OR(FE83="",FE83=0),"",IF(FE83=$FE$82,"Crítico",""))</f>
        <v/>
      </c>
      <c r="FD83" s="76" t="str">
        <f t="shared" ref="FD83:FD93" si="451">IF(FC83="","",1)</f>
        <v/>
      </c>
      <c r="FE83" s="92">
        <f t="shared" ref="FE83:FE107" si="452">FH83+FK83+FO83+FS83+FW83+GA83+GE83+GI83+GM83+GQ83+GU83+GY83+HC83+HG83+HK83+HO83+HS83+HW83+IA83+IE83+II83+IM83+IQ83+IU83+IY83</f>
        <v>0</v>
      </c>
      <c r="FF83" s="711">
        <f t="shared" ref="FF83:FG102" si="453">FF25</f>
        <v>0</v>
      </c>
      <c r="FG83" s="702">
        <f t="shared" si="453"/>
        <v>0</v>
      </c>
      <c r="FH83" s="19">
        <f>IF(OR($K25="",FG25=""),0,$K25)</f>
        <v>0</v>
      </c>
      <c r="FI83" s="718"/>
      <c r="FJ83" s="701" t="str">
        <f>FJ25</f>
        <v/>
      </c>
      <c r="FK83" s="66">
        <f t="shared" ref="FK83:FK107" si="454">IF(FJ83="",0,LOOKUP(FJ83,$EW$83:$EW$107,$FH$83:$FH$107))</f>
        <v>0</v>
      </c>
      <c r="FL83" s="715"/>
      <c r="FM83" s="716"/>
      <c r="FN83" s="701" t="str">
        <f>FN25</f>
        <v/>
      </c>
      <c r="FO83" s="66">
        <f t="shared" ref="FO83:FO107" si="455">IF(FN83="",0,LOOKUP(FN83,$EW$83:$EW$107,$FH$83:$FH$107))</f>
        <v>0</v>
      </c>
      <c r="FP83" s="715"/>
      <c r="FQ83" s="716"/>
      <c r="FR83" s="701" t="str">
        <f>FR25</f>
        <v/>
      </c>
      <c r="FS83" s="66">
        <f t="shared" ref="FS83:FS107" si="456">IF(FR83="",0,LOOKUP(FR83,$EW$83:$EW$107,$FH$83:$FH$107))</f>
        <v>0</v>
      </c>
      <c r="FT83" s="715"/>
      <c r="FU83" s="716"/>
      <c r="FV83" s="701" t="str">
        <f>FV25</f>
        <v/>
      </c>
      <c r="FW83" s="66">
        <f t="shared" ref="FW83:FW107" si="457">IF(FV83="",0,LOOKUP(FV83,$EW$83:$EW$107,$FH$83:$FH$107))</f>
        <v>0</v>
      </c>
      <c r="FX83" s="715"/>
      <c r="FY83" s="716"/>
      <c r="FZ83" s="701" t="str">
        <f>FZ25</f>
        <v/>
      </c>
      <c r="GA83" s="66">
        <f t="shared" ref="GA83:GA107" si="458">IF(FZ83="",0,LOOKUP(FZ83,$EW$83:$EW$107,$FH$83:$FH$107))</f>
        <v>0</v>
      </c>
      <c r="GB83" s="715"/>
      <c r="GC83" s="716"/>
      <c r="GD83" s="701" t="str">
        <f>GD25</f>
        <v/>
      </c>
      <c r="GE83" s="66">
        <f t="shared" ref="GE83:GE107" si="459">IF(GD83="",0,LOOKUP(GD83,$EW$83:$EW$107,$FH$83:$FH$107))</f>
        <v>0</v>
      </c>
      <c r="GF83" s="715"/>
      <c r="GG83" s="716"/>
      <c r="GH83" s="701" t="str">
        <f>GH25</f>
        <v/>
      </c>
      <c r="GI83" s="66">
        <f t="shared" ref="GI83:GI107" si="460">IF(GH83="",0,LOOKUP(GH83,$EW$83:$EW$107,$FH$83:$FH$107))</f>
        <v>0</v>
      </c>
      <c r="GJ83" s="715"/>
      <c r="GK83" s="716"/>
      <c r="GL83" s="701" t="str">
        <f>GL25</f>
        <v/>
      </c>
      <c r="GM83" s="66">
        <f t="shared" ref="GM83:GM107" si="461">IF(GL83="",0,LOOKUP(GL83,$EW$83:$EW$107,$FH$83:$FH$107))</f>
        <v>0</v>
      </c>
      <c r="GN83" s="715"/>
      <c r="GO83" s="716"/>
      <c r="GP83" s="701" t="str">
        <f>GP25</f>
        <v/>
      </c>
      <c r="GQ83" s="66">
        <f t="shared" ref="GQ83:GQ107" si="462">IF(GP83="",0,LOOKUP(GP83,$EW$83:$EW$107,$FH$83:$FH$107))</f>
        <v>0</v>
      </c>
      <c r="GR83" s="715"/>
      <c r="GS83" s="716"/>
      <c r="GT83" s="701" t="str">
        <f>GT25</f>
        <v/>
      </c>
      <c r="GU83" s="66">
        <f t="shared" ref="GU83:GU107" si="463">IF(GT83="",0,LOOKUP(GT83,$EW$83:$EW$107,$FH$83:$FH$107))</f>
        <v>0</v>
      </c>
      <c r="GV83" s="715"/>
      <c r="GW83" s="716"/>
      <c r="GX83" s="701" t="str">
        <f>GX25</f>
        <v/>
      </c>
      <c r="GY83" s="66">
        <f t="shared" ref="GY83:GY107" si="464">IF(GX83="",0,LOOKUP(GX83,$EW$83:$EW$107,$FH$83:$FH$107))</f>
        <v>0</v>
      </c>
      <c r="GZ83" s="715"/>
      <c r="HA83" s="716"/>
      <c r="HB83" s="701" t="str">
        <f>HB25</f>
        <v/>
      </c>
      <c r="HC83" s="66">
        <f t="shared" ref="HC83:HC107" si="465">IF(HB83="",0,LOOKUP(HB83,$EW$83:$EW$107,$FH$83:$FH$107))</f>
        <v>0</v>
      </c>
      <c r="HD83" s="715"/>
      <c r="HE83" s="716"/>
      <c r="HF83" s="701" t="str">
        <f>HF25</f>
        <v/>
      </c>
      <c r="HG83" s="66">
        <f t="shared" ref="HG83:HG107" si="466">IF(HF83="",0,LOOKUP(HF83,$EW$83:$EW$107,$FH$83:$FH$107))</f>
        <v>0</v>
      </c>
      <c r="HH83" s="715"/>
      <c r="HI83" s="716"/>
      <c r="HJ83" s="701" t="str">
        <f>HJ25</f>
        <v/>
      </c>
      <c r="HK83" s="66">
        <f t="shared" ref="HK83:HK107" si="467">IF(HJ83="",0,LOOKUP(HJ83,$EW$83:$EW$107,$FH$83:$FH$107))</f>
        <v>0</v>
      </c>
      <c r="HL83" s="715"/>
      <c r="HM83" s="716"/>
      <c r="HN83" s="701" t="str">
        <f>HN25</f>
        <v/>
      </c>
      <c r="HO83" s="66">
        <f t="shared" ref="HO83:HO107" si="468">IF(HN83="",0,LOOKUP(HN83,$EW$83:$EW$107,$FH$83:$FH$107))</f>
        <v>0</v>
      </c>
      <c r="HP83" s="715"/>
      <c r="HQ83" s="716"/>
      <c r="HR83" s="701" t="str">
        <f>HR25</f>
        <v/>
      </c>
      <c r="HS83" s="66">
        <f t="shared" ref="HS83:HS107" si="469">IF(HR83="",0,LOOKUP(HR83,$EW$83:$EW$107,$FH$83:$FH$107))</f>
        <v>0</v>
      </c>
      <c r="HT83" s="715"/>
      <c r="HU83" s="716"/>
      <c r="HV83" s="701" t="str">
        <f>HV25</f>
        <v/>
      </c>
      <c r="HW83" s="66">
        <f t="shared" ref="HW83:HW107" si="470">IF(HV83="",0,LOOKUP(HV83,$EW$83:$EW$107,$FH$83:$FH$107))</f>
        <v>0</v>
      </c>
      <c r="HX83" s="715"/>
      <c r="HY83" s="716"/>
      <c r="HZ83" s="701" t="str">
        <f>HZ25</f>
        <v/>
      </c>
      <c r="IA83" s="66">
        <f t="shared" ref="IA83:IA107" si="471">IF(HZ83="",0,LOOKUP(HZ83,$EW$83:$EW$107,$FH$83:$FH$107))</f>
        <v>0</v>
      </c>
      <c r="IB83" s="715"/>
      <c r="IC83" s="716"/>
      <c r="ID83" s="701" t="str">
        <f>ID25</f>
        <v/>
      </c>
      <c r="IE83" s="66">
        <f t="shared" ref="IE83:IE107" si="472">IF(ID83="",0,LOOKUP(ID83,$EW$83:$EW$107,$FH$83:$FH$107))</f>
        <v>0</v>
      </c>
      <c r="IF83" s="715"/>
      <c r="IG83" s="716"/>
      <c r="IH83" s="701" t="str">
        <f>IH25</f>
        <v/>
      </c>
      <c r="II83" s="66">
        <f t="shared" ref="II83:II107" si="473">IF(IH83="",0,LOOKUP(IH83,$EW$83:$EW$107,$FH$83:$FH$107))</f>
        <v>0</v>
      </c>
      <c r="IJ83" s="715"/>
      <c r="IK83" s="716"/>
      <c r="IL83" s="701" t="str">
        <f>IL25</f>
        <v/>
      </c>
      <c r="IM83" s="66">
        <f t="shared" ref="IM83:IM107" si="474">IF(IL83="",0,LOOKUP(IL83,$EW$83:$EW$107,$FH$83:$FH$107))</f>
        <v>0</v>
      </c>
      <c r="IN83" s="715"/>
      <c r="IO83" s="716"/>
      <c r="IP83" s="701" t="str">
        <f>IP25</f>
        <v/>
      </c>
      <c r="IQ83" s="66">
        <f t="shared" ref="IQ83:IQ107" si="475">IF(IP83="",0,LOOKUP(IP83,$EW$83:$EW$107,$FH$83:$FH$107))</f>
        <v>0</v>
      </c>
      <c r="IR83" s="715"/>
      <c r="IS83" s="716"/>
      <c r="IT83" s="701" t="str">
        <f>IT25</f>
        <v/>
      </c>
      <c r="IU83" s="66">
        <f t="shared" ref="IU83:IU107" si="476">IF(IT83="",0,LOOKUP(IT83,$EW$83:$EW$107,$FH$83:$FH$107))</f>
        <v>0</v>
      </c>
      <c r="IV83" s="715"/>
      <c r="IW83" s="716"/>
      <c r="IX83" s="701" t="str">
        <f>IX25</f>
        <v/>
      </c>
      <c r="IY83" s="66">
        <f t="shared" ref="IY83:IY107" si="477">IF(IX83="",0,LOOKUP(IX83,$EW$83:$EW$107,$FH$83:$FH$107))</f>
        <v>0</v>
      </c>
    </row>
    <row r="84" spans="46:259" ht="13.3" thickTop="1" thickBot="1" x14ac:dyDescent="0.35">
      <c r="AT84" s="241" t="s">
        <v>559</v>
      </c>
      <c r="AU84" s="240">
        <f>IF($AU$7="","",IF(AND($AX$52&lt;&gt;0,$AU$7&lt;&gt;$AX$52),$AX$52,$AU$7))</f>
        <v>5</v>
      </c>
      <c r="AV84" s="109" t="str">
        <f>BG4</f>
        <v>l/min</v>
      </c>
      <c r="AW84" s="109" t="str">
        <f>AV84</f>
        <v>l/min</v>
      </c>
      <c r="AY84" s="2" t="s">
        <v>584</v>
      </c>
      <c r="AZ84" s="767">
        <f>IF(AU7="","",AU7-AU84)</f>
        <v>0</v>
      </c>
      <c r="BA84" s="250">
        <f>SUM(BA85:BA93)</f>
        <v>0</v>
      </c>
      <c r="BB84" s="1383"/>
      <c r="BC84" s="250">
        <f>SUM(BC85:BC93)</f>
        <v>0</v>
      </c>
      <c r="BD84" s="1382"/>
      <c r="BE84" s="1371">
        <f>SUM(BE85:BE93)</f>
        <v>120</v>
      </c>
      <c r="BF84" s="1367"/>
      <c r="BG84" s="1377" t="s">
        <v>878</v>
      </c>
      <c r="BH84" s="1377" t="s">
        <v>582</v>
      </c>
      <c r="BI84" s="172" t="s">
        <v>40</v>
      </c>
      <c r="BJ84" s="99" t="s">
        <v>40</v>
      </c>
      <c r="BK84" s="99" t="s">
        <v>39</v>
      </c>
      <c r="BL84" s="110" t="s">
        <v>79</v>
      </c>
      <c r="BM84" s="111" t="str">
        <f>BN84</f>
        <v>kPa</v>
      </c>
      <c r="BN84" s="13" t="str">
        <f>BL4</f>
        <v>kPa</v>
      </c>
      <c r="BO84" s="14" t="str">
        <f>BN84</f>
        <v>kPa</v>
      </c>
      <c r="BP84" s="11" t="str">
        <f>BO84</f>
        <v>kPa</v>
      </c>
      <c r="BQ84" s="112" t="s">
        <v>51</v>
      </c>
      <c r="BU84" s="110" t="s">
        <v>39</v>
      </c>
      <c r="BV84" s="99" t="s">
        <v>39</v>
      </c>
      <c r="BW84" s="174" t="s">
        <v>134</v>
      </c>
      <c r="BX84" s="99" t="s">
        <v>39</v>
      </c>
      <c r="BY84" s="130" t="s">
        <v>313</v>
      </c>
      <c r="BZ84" s="133" t="s">
        <v>314</v>
      </c>
      <c r="CI84" s="3"/>
      <c r="CJ84" s="3"/>
      <c r="EB84" s="33"/>
      <c r="EC84" s="33"/>
      <c r="ED84" s="33"/>
      <c r="EF84" s="33"/>
      <c r="EG84" s="33"/>
      <c r="EH84" s="33"/>
      <c r="EI84" s="33"/>
      <c r="EJ84" s="33"/>
      <c r="EK84" s="33"/>
      <c r="EL84" s="33"/>
      <c r="EM84" s="33"/>
      <c r="EO84" s="33"/>
      <c r="EP84" s="33"/>
      <c r="EQ84" s="33"/>
      <c r="EW84" s="33">
        <v>2</v>
      </c>
      <c r="EY84" s="770" t="str">
        <f t="shared" si="448"/>
        <v/>
      </c>
      <c r="EZ84" s="794" t="str">
        <f t="shared" si="449"/>
        <v/>
      </c>
      <c r="FA84" s="7" t="str">
        <f t="shared" si="447"/>
        <v/>
      </c>
      <c r="FB84" s="7" t="str" cm="1">
        <f t="array" ref="FB84">IF(FA84="","",INDEX($FB$54:$FB$78,FA84))</f>
        <v/>
      </c>
      <c r="FC84" s="121" t="str">
        <f>IF(OR(FE84="",FE84=0),"",IF(FE84=$FE$82,"Crítico",""))</f>
        <v/>
      </c>
      <c r="FD84" s="115" t="str">
        <f t="shared" si="451"/>
        <v/>
      </c>
      <c r="FE84" s="92">
        <f t="shared" si="452"/>
        <v>0</v>
      </c>
      <c r="FF84" s="711">
        <f t="shared" si="453"/>
        <v>0</v>
      </c>
      <c r="FG84" s="702">
        <f t="shared" si="453"/>
        <v>0</v>
      </c>
      <c r="FH84" s="19">
        <f t="shared" ref="FH84:FH107" si="478">IF(OR($K26="",FG26=""),0,$K26)</f>
        <v>0</v>
      </c>
      <c r="FI84" s="718"/>
      <c r="FJ84" s="701" t="str">
        <f t="shared" ref="FJ84:FJ107" si="479">FJ26</f>
        <v/>
      </c>
      <c r="FK84" s="66">
        <f t="shared" si="454"/>
        <v>0</v>
      </c>
      <c r="FL84" s="715"/>
      <c r="FM84" s="716"/>
      <c r="FN84" s="701" t="str">
        <f t="shared" ref="FN84:FN107" si="480">FN26</f>
        <v/>
      </c>
      <c r="FO84" s="66">
        <f t="shared" si="455"/>
        <v>0</v>
      </c>
      <c r="FP84" s="715"/>
      <c r="FQ84" s="716"/>
      <c r="FR84" s="701" t="str">
        <f t="shared" ref="FR84:FR107" si="481">FR26</f>
        <v/>
      </c>
      <c r="FS84" s="66">
        <f t="shared" si="456"/>
        <v>0</v>
      </c>
      <c r="FT84" s="715"/>
      <c r="FU84" s="716"/>
      <c r="FV84" s="701" t="str">
        <f t="shared" ref="FV84:FV107" si="482">FV26</f>
        <v/>
      </c>
      <c r="FW84" s="66">
        <f t="shared" si="457"/>
        <v>0</v>
      </c>
      <c r="FX84" s="715"/>
      <c r="FY84" s="716"/>
      <c r="FZ84" s="701" t="str">
        <f t="shared" ref="FZ84:FZ107" si="483">FZ26</f>
        <v/>
      </c>
      <c r="GA84" s="66">
        <f t="shared" si="458"/>
        <v>0</v>
      </c>
      <c r="GB84" s="715"/>
      <c r="GC84" s="716"/>
      <c r="GD84" s="701" t="str">
        <f t="shared" ref="GD84:GD107" si="484">GD26</f>
        <v/>
      </c>
      <c r="GE84" s="66">
        <f t="shared" si="459"/>
        <v>0</v>
      </c>
      <c r="GF84" s="715"/>
      <c r="GG84" s="716"/>
      <c r="GH84" s="701" t="str">
        <f t="shared" ref="GH84:GH107" si="485">GH26</f>
        <v/>
      </c>
      <c r="GI84" s="66">
        <f t="shared" si="460"/>
        <v>0</v>
      </c>
      <c r="GJ84" s="715"/>
      <c r="GK84" s="716"/>
      <c r="GL84" s="701" t="str">
        <f t="shared" ref="GL84:GL107" si="486">GL26</f>
        <v/>
      </c>
      <c r="GM84" s="66">
        <f t="shared" si="461"/>
        <v>0</v>
      </c>
      <c r="GN84" s="715"/>
      <c r="GO84" s="716"/>
      <c r="GP84" s="701" t="str">
        <f t="shared" ref="GP84:GP107" si="487">GP26</f>
        <v/>
      </c>
      <c r="GQ84" s="66">
        <f t="shared" si="462"/>
        <v>0</v>
      </c>
      <c r="GR84" s="715"/>
      <c r="GS84" s="716"/>
      <c r="GT84" s="701" t="str">
        <f t="shared" ref="GT84:GT107" si="488">GT26</f>
        <v/>
      </c>
      <c r="GU84" s="66">
        <f t="shared" si="463"/>
        <v>0</v>
      </c>
      <c r="GV84" s="715"/>
      <c r="GW84" s="716"/>
      <c r="GX84" s="701" t="str">
        <f t="shared" ref="GX84:GX107" si="489">GX26</f>
        <v/>
      </c>
      <c r="GY84" s="66">
        <f t="shared" si="464"/>
        <v>0</v>
      </c>
      <c r="GZ84" s="715"/>
      <c r="HA84" s="716"/>
      <c r="HB84" s="701" t="str">
        <f t="shared" ref="HB84:HB107" si="490">HB26</f>
        <v/>
      </c>
      <c r="HC84" s="66">
        <f t="shared" si="465"/>
        <v>0</v>
      </c>
      <c r="HD84" s="715"/>
      <c r="HE84" s="716"/>
      <c r="HF84" s="701" t="str">
        <f t="shared" ref="HF84:HF107" si="491">HF26</f>
        <v/>
      </c>
      <c r="HG84" s="66">
        <f t="shared" si="466"/>
        <v>0</v>
      </c>
      <c r="HH84" s="715"/>
      <c r="HI84" s="716"/>
      <c r="HJ84" s="701" t="str">
        <f t="shared" ref="HJ84:HJ107" si="492">HJ26</f>
        <v/>
      </c>
      <c r="HK84" s="66">
        <f t="shared" si="467"/>
        <v>0</v>
      </c>
      <c r="HL84" s="715"/>
      <c r="HM84" s="716"/>
      <c r="HN84" s="701" t="str">
        <f t="shared" ref="HN84:HN107" si="493">HN26</f>
        <v/>
      </c>
      <c r="HO84" s="66">
        <f t="shared" si="468"/>
        <v>0</v>
      </c>
      <c r="HP84" s="715"/>
      <c r="HQ84" s="716"/>
      <c r="HR84" s="701" t="str">
        <f t="shared" ref="HR84:HR107" si="494">HR26</f>
        <v/>
      </c>
      <c r="HS84" s="66">
        <f t="shared" si="469"/>
        <v>0</v>
      </c>
      <c r="HT84" s="715"/>
      <c r="HU84" s="716"/>
      <c r="HV84" s="701" t="str">
        <f t="shared" ref="HV84:HV107" si="495">HV26</f>
        <v/>
      </c>
      <c r="HW84" s="66">
        <f t="shared" si="470"/>
        <v>0</v>
      </c>
      <c r="HX84" s="715"/>
      <c r="HY84" s="716"/>
      <c r="HZ84" s="701" t="str">
        <f t="shared" ref="HZ84:HZ107" si="496">HZ26</f>
        <v/>
      </c>
      <c r="IA84" s="66">
        <f t="shared" si="471"/>
        <v>0</v>
      </c>
      <c r="IB84" s="715"/>
      <c r="IC84" s="716"/>
      <c r="ID84" s="701" t="str">
        <f t="shared" ref="ID84:ID107" si="497">ID26</f>
        <v/>
      </c>
      <c r="IE84" s="66">
        <f t="shared" si="472"/>
        <v>0</v>
      </c>
      <c r="IF84" s="715"/>
      <c r="IG84" s="716"/>
      <c r="IH84" s="701" t="str">
        <f t="shared" ref="IH84:IH107" si="498">IH26</f>
        <v/>
      </c>
      <c r="II84" s="66">
        <f t="shared" si="473"/>
        <v>0</v>
      </c>
      <c r="IJ84" s="715"/>
      <c r="IK84" s="716"/>
      <c r="IL84" s="701" t="str">
        <f t="shared" ref="IL84:IL107" si="499">IL26</f>
        <v/>
      </c>
      <c r="IM84" s="66">
        <f t="shared" si="474"/>
        <v>0</v>
      </c>
      <c r="IN84" s="715"/>
      <c r="IO84" s="716"/>
      <c r="IP84" s="701" t="str">
        <f t="shared" ref="IP84:IP107" si="500">IP26</f>
        <v/>
      </c>
      <c r="IQ84" s="66">
        <f t="shared" si="475"/>
        <v>0</v>
      </c>
      <c r="IR84" s="715"/>
      <c r="IS84" s="716"/>
      <c r="IT84" s="701" t="str">
        <f t="shared" ref="IT84:IT107" si="501">IT26</f>
        <v/>
      </c>
      <c r="IU84" s="66">
        <f t="shared" si="476"/>
        <v>0</v>
      </c>
      <c r="IV84" s="715"/>
      <c r="IW84" s="716"/>
      <c r="IX84" s="701" t="str">
        <f t="shared" ref="IX84:IX107" si="502">IX26</f>
        <v/>
      </c>
      <c r="IY84" s="66">
        <f t="shared" si="477"/>
        <v>0</v>
      </c>
    </row>
    <row r="85" spans="46:259" ht="13.3" thickTop="1" thickBot="1" x14ac:dyDescent="0.35">
      <c r="AT85" s="756" t="str">
        <f>IF($EW$23="","",LOOKUP($EW$23,$EU$25:$EU$49,DT$25:DT$49))</f>
        <v/>
      </c>
      <c r="AU85" s="1363">
        <f>$N$21</f>
        <v>1</v>
      </c>
      <c r="AV85" s="253">
        <f>AW85</f>
        <v>60</v>
      </c>
      <c r="AW85" s="785">
        <f>$AU$8</f>
        <v>60</v>
      </c>
      <c r="AX85" s="1366"/>
      <c r="AY85" s="770">
        <f>IF(OR($AZ$84="",AZ85="")="","",AZ84)</f>
        <v>0</v>
      </c>
      <c r="AZ85" s="678">
        <f>IFERROR(IF(OR(AU85="",AW85=""),"",LARGE($AW$85:$AW$93,AU85)),"")</f>
        <v>60</v>
      </c>
      <c r="BA85" s="809" t="str">
        <f>IF(OR(AY85="",AY85&lt;1),"",AZ85)</f>
        <v/>
      </c>
      <c r="BB85" s="1378">
        <v>1</v>
      </c>
      <c r="BC85" s="755" t="str">
        <f>IF($FB$53="","",IF($AZ$84=0,"",IF($AJ$6="x",$AU$8,AZ85)))</f>
        <v/>
      </c>
      <c r="BD85" s="1376">
        <f>IF(BB85&gt;$AU$7,"",IF(AU85&lt;&gt;"",AU85,IF(AND(BB84=$AU$84,$BC$84&lt;&gt;0),1,BE84+1)))</f>
        <v>1</v>
      </c>
      <c r="BE85" s="1370">
        <f t="shared" ref="BE85:BE90" si="503">IF(BD85="","",LOOKUP(BD85,$BB$85:$BB$93,$AZ$85:$AZ$93))</f>
        <v>60</v>
      </c>
      <c r="BF85" s="1368">
        <f>IF(BE85="","",BE85)</f>
        <v>60</v>
      </c>
      <c r="BG85" s="1379">
        <f>IF(BF85="","",BF85/$BE$84)</f>
        <v>0.5</v>
      </c>
      <c r="BH85" s="216" t="str">
        <f>IF(OR(AT85="",AU85=""),"",MATCH(AT85,$G$25:$G$49,0))</f>
        <v/>
      </c>
      <c r="BI85" s="755">
        <f>IF(AND($EW$50&gt;=2,EW23&lt;&gt;""),LOOKUP(EW23,EU25:EU49,M25:M49),SUMIF($EW$25:$EW$49,"1",M25:M49))</f>
        <v>0</v>
      </c>
      <c r="BJ85" s="464">
        <f>IF(AND($EW$50&gt;=2,EW23&lt;&gt;""),LOOKUP(EW23,EU25:EU49,K25:K49),SUMIF($EW$25:$EW$49,"1",K25:K49))</f>
        <v>0</v>
      </c>
      <c r="BK85" s="245">
        <f t="shared" ref="BK85:BK93" si="504">IF(AU86="","",BX85)</f>
        <v>27.3</v>
      </c>
      <c r="BL85" s="246">
        <f t="shared" ref="BL85:BL93" si="505">IF(BK85="","",IF($M$15="",61.7*100000*((AV85/$B$17)^1.85/($P$16^1.85*BK85^4.87)),(4*$P$16*((BQ85^7)/(BK85/1000))^(1/4))/(BK85/1000)))</f>
        <v>0.17348725720026661</v>
      </c>
      <c r="BM85" s="247">
        <f t="shared" ref="BM85:BM93" si="506">IF(BL85="","",BL85*BI85*$AU$19*$B$18)</f>
        <v>0</v>
      </c>
      <c r="BN85" s="249">
        <f t="shared" ref="BN85:BN93" si="507">IF(BM85="","",BO85+BM85)</f>
        <v>56.25</v>
      </c>
      <c r="BO85" s="249">
        <f t="shared" ref="BO85:BO93" si="508">IF(BP85="","",BP85+$B$18*$AU$19*BJ85)</f>
        <v>56.25</v>
      </c>
      <c r="BP85" s="251">
        <f>$AU$9</f>
        <v>56.25</v>
      </c>
      <c r="BQ85" s="252">
        <f t="shared" ref="BQ85:BQ93" si="509">IF(BK85="","",(66.7*AV85/$B$17)/(PI()*BK85^2))</f>
        <v>1.7092355519429083</v>
      </c>
      <c r="BU85" s="465">
        <f>MAX(BV85,MIN('Quadro 1'!$G$12,'Quadro 1'!$G$16))</f>
        <v>27.3</v>
      </c>
      <c r="BV85" s="465" t="str">
        <f>IF(SUM($EW$25:$EW$49)=25,"",LOOKUP(EW23,EU25:EU49,U25:U49))</f>
        <v/>
      </c>
      <c r="BW85" s="243">
        <f>IF(MAX(BR85:BR85)=0,BU85,IF(BV85&lt;&gt;0,BV85,MAX(BR85:BR85)))</f>
        <v>27.3</v>
      </c>
      <c r="BX85" s="243">
        <f>IF(OR(BU85="",BU85=0),"",IF(BW85&gt;'Quadro 1'!$G$23,'Quadro 1'!$G$23,IF(BW85&lt;'Quadro 1'!$G$10,'Quadro 1'!$G$10,MIN(BY85:BZ85))))</f>
        <v>27.3</v>
      </c>
      <c r="BY85" s="243">
        <f>IF($BW85&lt;='Quadro 1'!$G$10,'Quadro 1'!$G$10,IF($BW85&lt;='Quadro 1'!$G$11,'Quadro 1'!$G$11,IF($BW85&lt;='Quadro 1'!$G$12,'Quadro 1'!$G$12,IF($BW85&lt;='Quadro 1'!$G$13,'Quadro 1'!$G$13,IF($BW85&lt;='Quadro 1'!$G$14,'Quadro 1'!$G$14,IF($BW85&lt;='Quadro 1'!$G$15,'Quadro 1'!$G$15,IF($BW85&lt;='Quadro 1'!$G$16,'Quadro 1'!$G$16,"")))))))</f>
        <v>27.3</v>
      </c>
      <c r="BZ85" s="243">
        <f>IF(OR(BU85="",BU85=0),"",IF($BW85&lt;='Quadro 1'!$G$17,'Quadro 1'!$G$17,IF($BW85&lt;='Quadro 1'!$G$18,'Quadro 1'!$G$18,IF($BW85&lt;='Quadro 1'!$G$19,'Quadro 1'!$G$19,IF($BW85&lt;='Quadro 1'!$G$20,'Quadro 1'!$G$20,IF($BW85&lt;='Quadro 1'!$G$21,'Quadro 1'!$G$21,IF($BW85&lt;='Quadro 1'!$G$22,'Quadro 1'!$G$22,IF($BW85&lt;='Quadro 1'!$G$23,'Quadro 1'!$G$23,'Quadro 1'!$G$23))))))))</f>
        <v>80.900000000000006</v>
      </c>
      <c r="CI85" s="3"/>
      <c r="CJ85" s="3"/>
      <c r="EB85" s="33"/>
      <c r="EC85" s="33"/>
      <c r="ED85" s="33"/>
      <c r="EF85" s="33"/>
      <c r="EG85" s="33"/>
      <c r="EH85" s="33"/>
      <c r="EI85" s="33"/>
      <c r="EJ85" s="33"/>
      <c r="EK85" s="33"/>
      <c r="EL85" s="33"/>
      <c r="EM85" s="33"/>
      <c r="EO85" s="33"/>
      <c r="EP85" s="33"/>
      <c r="EQ85" s="33"/>
      <c r="EW85" s="33">
        <v>3</v>
      </c>
      <c r="EY85" s="770" t="str">
        <f t="shared" si="448"/>
        <v/>
      </c>
      <c r="EZ85" s="794" t="str">
        <f t="shared" si="449"/>
        <v/>
      </c>
      <c r="FA85" s="7" t="str">
        <f t="shared" si="447"/>
        <v/>
      </c>
      <c r="FB85" s="7" t="str" cm="1">
        <f t="array" ref="FB85">IF(FA85="","",INDEX($FB$54:$FB$78,FA85))</f>
        <v/>
      </c>
      <c r="FC85" s="121" t="str">
        <f t="shared" si="450"/>
        <v/>
      </c>
      <c r="FD85" s="115" t="str">
        <f>IF(FC85="","",1)</f>
        <v/>
      </c>
      <c r="FE85" s="92">
        <f t="shared" si="452"/>
        <v>0</v>
      </c>
      <c r="FF85" s="711">
        <f t="shared" si="453"/>
        <v>0</v>
      </c>
      <c r="FG85" s="702">
        <f t="shared" si="453"/>
        <v>0</v>
      </c>
      <c r="FH85" s="19">
        <f t="shared" si="478"/>
        <v>0</v>
      </c>
      <c r="FI85" s="718"/>
      <c r="FJ85" s="701" t="str">
        <f t="shared" si="479"/>
        <v/>
      </c>
      <c r="FK85" s="66">
        <f t="shared" si="454"/>
        <v>0</v>
      </c>
      <c r="FL85" s="715"/>
      <c r="FM85" s="716"/>
      <c r="FN85" s="701" t="str">
        <f t="shared" si="480"/>
        <v/>
      </c>
      <c r="FO85" s="66">
        <f t="shared" si="455"/>
        <v>0</v>
      </c>
      <c r="FP85" s="715"/>
      <c r="FQ85" s="716"/>
      <c r="FR85" s="701" t="str">
        <f t="shared" si="481"/>
        <v/>
      </c>
      <c r="FS85" s="66">
        <f t="shared" si="456"/>
        <v>0</v>
      </c>
      <c r="FT85" s="715"/>
      <c r="FU85" s="716"/>
      <c r="FV85" s="701" t="str">
        <f t="shared" si="482"/>
        <v/>
      </c>
      <c r="FW85" s="66">
        <f t="shared" si="457"/>
        <v>0</v>
      </c>
      <c r="FX85" s="715"/>
      <c r="FY85" s="716"/>
      <c r="FZ85" s="701" t="str">
        <f t="shared" si="483"/>
        <v/>
      </c>
      <c r="GA85" s="66">
        <f t="shared" si="458"/>
        <v>0</v>
      </c>
      <c r="GB85" s="715"/>
      <c r="GC85" s="716"/>
      <c r="GD85" s="701" t="str">
        <f t="shared" si="484"/>
        <v/>
      </c>
      <c r="GE85" s="66">
        <f t="shared" si="459"/>
        <v>0</v>
      </c>
      <c r="GF85" s="715"/>
      <c r="GG85" s="716"/>
      <c r="GH85" s="701" t="str">
        <f t="shared" si="485"/>
        <v/>
      </c>
      <c r="GI85" s="66">
        <f t="shared" si="460"/>
        <v>0</v>
      </c>
      <c r="GJ85" s="715"/>
      <c r="GK85" s="716"/>
      <c r="GL85" s="701" t="str">
        <f t="shared" si="486"/>
        <v/>
      </c>
      <c r="GM85" s="66">
        <f t="shared" si="461"/>
        <v>0</v>
      </c>
      <c r="GN85" s="715"/>
      <c r="GO85" s="716"/>
      <c r="GP85" s="701" t="str">
        <f t="shared" si="487"/>
        <v/>
      </c>
      <c r="GQ85" s="66">
        <f t="shared" si="462"/>
        <v>0</v>
      </c>
      <c r="GR85" s="715"/>
      <c r="GS85" s="716"/>
      <c r="GT85" s="701" t="str">
        <f t="shared" si="488"/>
        <v/>
      </c>
      <c r="GU85" s="66">
        <f t="shared" si="463"/>
        <v>0</v>
      </c>
      <c r="GV85" s="715"/>
      <c r="GW85" s="716"/>
      <c r="GX85" s="701" t="str">
        <f t="shared" si="489"/>
        <v/>
      </c>
      <c r="GY85" s="66">
        <f t="shared" si="464"/>
        <v>0</v>
      </c>
      <c r="GZ85" s="715"/>
      <c r="HA85" s="716"/>
      <c r="HB85" s="701" t="str">
        <f t="shared" si="490"/>
        <v/>
      </c>
      <c r="HC85" s="66">
        <f t="shared" si="465"/>
        <v>0</v>
      </c>
      <c r="HD85" s="715"/>
      <c r="HE85" s="716"/>
      <c r="HF85" s="701" t="str">
        <f t="shared" si="491"/>
        <v/>
      </c>
      <c r="HG85" s="66">
        <f t="shared" si="466"/>
        <v>0</v>
      </c>
      <c r="HH85" s="715"/>
      <c r="HI85" s="716"/>
      <c r="HJ85" s="701" t="str">
        <f t="shared" si="492"/>
        <v/>
      </c>
      <c r="HK85" s="66">
        <f t="shared" si="467"/>
        <v>0</v>
      </c>
      <c r="HL85" s="715"/>
      <c r="HM85" s="716"/>
      <c r="HN85" s="701" t="str">
        <f t="shared" si="493"/>
        <v/>
      </c>
      <c r="HO85" s="66">
        <f t="shared" si="468"/>
        <v>0</v>
      </c>
      <c r="HP85" s="715"/>
      <c r="HQ85" s="716"/>
      <c r="HR85" s="701" t="str">
        <f t="shared" si="494"/>
        <v/>
      </c>
      <c r="HS85" s="66">
        <f t="shared" si="469"/>
        <v>0</v>
      </c>
      <c r="HT85" s="715"/>
      <c r="HU85" s="716"/>
      <c r="HV85" s="701" t="str">
        <f t="shared" si="495"/>
        <v/>
      </c>
      <c r="HW85" s="66">
        <f t="shared" si="470"/>
        <v>0</v>
      </c>
      <c r="HX85" s="715"/>
      <c r="HY85" s="716"/>
      <c r="HZ85" s="701" t="str">
        <f t="shared" si="496"/>
        <v/>
      </c>
      <c r="IA85" s="66">
        <f t="shared" si="471"/>
        <v>0</v>
      </c>
      <c r="IB85" s="715"/>
      <c r="IC85" s="716"/>
      <c r="ID85" s="701" t="str">
        <f t="shared" si="497"/>
        <v/>
      </c>
      <c r="IE85" s="66">
        <f t="shared" si="472"/>
        <v>0</v>
      </c>
      <c r="IF85" s="715"/>
      <c r="IG85" s="716"/>
      <c r="IH85" s="701" t="str">
        <f t="shared" si="498"/>
        <v/>
      </c>
      <c r="II85" s="66">
        <f t="shared" si="473"/>
        <v>0</v>
      </c>
      <c r="IJ85" s="715"/>
      <c r="IK85" s="716"/>
      <c r="IL85" s="701" t="str">
        <f t="shared" si="499"/>
        <v/>
      </c>
      <c r="IM85" s="66">
        <f t="shared" si="474"/>
        <v>0</v>
      </c>
      <c r="IN85" s="715"/>
      <c r="IO85" s="716"/>
      <c r="IP85" s="701" t="str">
        <f t="shared" si="500"/>
        <v/>
      </c>
      <c r="IQ85" s="66">
        <f t="shared" si="475"/>
        <v>0</v>
      </c>
      <c r="IR85" s="715"/>
      <c r="IS85" s="716"/>
      <c r="IT85" s="701" t="str">
        <f t="shared" si="501"/>
        <v/>
      </c>
      <c r="IU85" s="66">
        <f t="shared" si="476"/>
        <v>0</v>
      </c>
      <c r="IV85" s="715"/>
      <c r="IW85" s="716"/>
      <c r="IX85" s="701" t="str">
        <f t="shared" si="502"/>
        <v/>
      </c>
      <c r="IY85" s="66">
        <f t="shared" si="477"/>
        <v>0</v>
      </c>
    </row>
    <row r="86" spans="46:259" ht="13.3" thickTop="1" thickBot="1" x14ac:dyDescent="0.35">
      <c r="AT86" s="756" t="str">
        <f>IF($EW$23="","",LOOKUP($EW$23,$EU$25:$EU$49,DU$25:DU$49))</f>
        <v/>
      </c>
      <c r="AU86" s="172">
        <f>IF($N$21+1&lt;=$AU$84,$N$21+1,"")</f>
        <v>2</v>
      </c>
      <c r="AV86" s="251">
        <f>IF(AW86="","",AW86+AV85)</f>
        <v>120</v>
      </c>
      <c r="AW86" s="247">
        <f t="shared" ref="AW86:AW93" si="510">IF(OR(BN85="",AU86=""),"",$B$17*$P$11*SQRT(BN85*(1/100)*(1/$B$18)))</f>
        <v>60</v>
      </c>
      <c r="AX86" s="1366"/>
      <c r="AY86" s="172">
        <f>IF(OR($AZ$84="",AZ86=""),"",AY85-1)</f>
        <v>-1</v>
      </c>
      <c r="AZ86" s="678">
        <f t="shared" ref="AZ86:AZ92" si="511">IFERROR(IF(OR(AU86="",AW86=""),"",LARGE($AW$85:$AW$93,AU86)),"")</f>
        <v>60</v>
      </c>
      <c r="BA86" s="809" t="str">
        <f t="shared" ref="BA86:BA93" si="512">IF(OR(AY86="",AY86&lt;1),"",AZ86)</f>
        <v/>
      </c>
      <c r="BB86" s="1378">
        <v>2</v>
      </c>
      <c r="BC86" s="809" t="str">
        <f t="shared" ref="BC86:BC93" si="513">IF($FB$53="","",IF($AZ$84=0,"",IF(AND(BB86&lt;=$AX$79,$AJ$6="x"),AW86,IF(BB86&lt;=$AX$79,AZ86,""))))</f>
        <v/>
      </c>
      <c r="BD86" s="1376">
        <f t="shared" ref="BD86:BD93" si="514">IF(BB86&gt;$AU$7,"",IF(AU86&lt;&gt;"",AU86,IF(AND(BB85=$AU$84,$BC$84&lt;&gt;0),1,BD85+1)))</f>
        <v>2</v>
      </c>
      <c r="BE86" s="1370">
        <f t="shared" si="503"/>
        <v>60</v>
      </c>
      <c r="BF86" s="1369">
        <f>IF(BE86="","",BF85+BE86)</f>
        <v>120</v>
      </c>
      <c r="BG86" s="1379">
        <f t="shared" ref="BG86:BG93" si="515">IF(BF86="","",BF86/$BE$84)</f>
        <v>1</v>
      </c>
      <c r="BH86" s="216" t="str">
        <f>IF(OR(AT86="",AU86=""),"",MATCH(AT86,$G$25:$G$49,0))</f>
        <v/>
      </c>
      <c r="BI86" s="88">
        <f t="shared" ref="BI86:BI93" si="516">IF(OR(AT86="",AU86=""),0,LOOKUP($BH86,$EU$25:$EU$49,$M$25:$M$49))</f>
        <v>0</v>
      </c>
      <c r="BJ86" s="244">
        <f t="shared" ref="BJ86:BJ93" si="517">IF(OR(AT86="",AU86=""),0,LOOKUP($BH86,$EU$25:$EU$49,$K$25:$K$49))</f>
        <v>0</v>
      </c>
      <c r="BK86" s="245" t="str">
        <f t="shared" si="504"/>
        <v/>
      </c>
      <c r="BL86" s="246" t="str">
        <f t="shared" si="505"/>
        <v/>
      </c>
      <c r="BM86" s="247" t="str">
        <f t="shared" si="506"/>
        <v/>
      </c>
      <c r="BN86" s="249" t="str">
        <f t="shared" si="507"/>
        <v/>
      </c>
      <c r="BO86" s="249">
        <f t="shared" si="508"/>
        <v>56.25</v>
      </c>
      <c r="BP86" s="249">
        <f t="shared" ref="BP86:BP93" si="518">IF(BN85="","",BN85)</f>
        <v>56.25</v>
      </c>
      <c r="BQ86" s="252" t="str">
        <f t="shared" si="509"/>
        <v/>
      </c>
      <c r="BR86" s="248">
        <f t="shared" ref="BR86:BR93" si="519">IF(OR(AT86="",AU86=""),0,IF($A$5=8,LOOKUP($BH86,$EU$25:$EU$49,$CT$25:$CT$49),LOOKUP($BH86,$EU$25:$EU$49,$CW$25:$CW$49)))</f>
        <v>0</v>
      </c>
      <c r="BS86" s="248">
        <f t="shared" ref="BS86:BS93" si="520">IF(OR(AT86="",AU86=""),0,IF($A$5=9,LOOKUP($BH86,$EU$25:$EU$49,$CU$25:$CU$49),LOOKUP($BH86,$EU$25:$EU$49,$CX$25:$CX$49)))</f>
        <v>0</v>
      </c>
      <c r="BT86" s="248">
        <f t="shared" ref="BT86:BT93" si="521">IF(OR(AT86="",AU86=""),0,IF($A$5=10,LOOKUP($BH86,$EU$25:$EU$49,$CV$25:$CV$49),LOOKUP($BH86,$EU$25:$EU$49,$CY$25:$CY$49)))</f>
        <v>0</v>
      </c>
      <c r="BU86" s="249" t="str">
        <f>IF(OR(AV86="",FD20=""),"",IF($M$15="",ROUND((61.7*100000*((AV86/$B$17)^1.85/($P$16^1.85*$FD$20)))^(1/4.87),1),ROUND(((4^11*$P$16^4*((AV86/$B$17/60)*0.001)^7)/(PI()^7*$FD$20^4))^(1/19)*1000,1)))</f>
        <v/>
      </c>
      <c r="BV86" s="250">
        <f t="shared" ref="BV86:BV93" si="522">IF(OR(AT86="",AU86=""),0,LOOKUP($BH86,$EU$25:$EU$49,$U$25:$U$49))</f>
        <v>0</v>
      </c>
      <c r="BW86" s="243" t="str">
        <f t="shared" ref="BW86:BW93" si="523">IF(MAX(BR86:BT86)=0,BU86,IF(BV86&lt;&gt;0,BV86,MAX(BR86:BT86)))</f>
        <v/>
      </c>
      <c r="BX86" s="243" t="str">
        <f>IF(OR(BU86="",BU86=0),"",IF(BW86&gt;'Quadro 1'!$G$23,'Quadro 1'!$G$23,IF(BW86&lt;'Quadro 1'!$G$10,'Quadro 1'!$G$10,MIN(BY86:BZ86))))</f>
        <v/>
      </c>
      <c r="BY86" s="243" t="str">
        <f>IF($BW86&lt;='Quadro 1'!$G$10,'Quadro 1'!$G$10,IF($BW86&lt;='Quadro 1'!$G$11,'Quadro 1'!$G$11,IF($BW86&lt;='Quadro 1'!$G$12,'Quadro 1'!$G$12,IF($BW86&lt;='Quadro 1'!$G$13,'Quadro 1'!$G$13,IF($BW86&lt;='Quadro 1'!$G$14,'Quadro 1'!$G$14,IF($BW86&lt;='Quadro 1'!$G$15,'Quadro 1'!$G$15,IF($BW86&lt;='Quadro 1'!$G$16,'Quadro 1'!$G$16,"")))))))</f>
        <v/>
      </c>
      <c r="BZ86" s="243" t="str">
        <f>IF(OR(BU86="",BU86=0),"",IF($BW86&lt;='Quadro 1'!$G$17,'Quadro 1'!$G$17,IF($BW86&lt;='Quadro 1'!$G$18,'Quadro 1'!$G$18,IF($BW86&lt;='Quadro 1'!$G$19,'Quadro 1'!$G$19,IF($BW86&lt;='Quadro 1'!$G$20,'Quadro 1'!$G$20,IF($BW86&lt;='Quadro 1'!$G$21,'Quadro 1'!$G$21,IF($BW86&lt;='Quadro 1'!$G$22,'Quadro 1'!$G$22,IF($BW86&lt;='Quadro 1'!$G$23,'Quadro 1'!$G$23,'Quadro 1'!$G$23))))))))</f>
        <v/>
      </c>
      <c r="EB86" s="33"/>
      <c r="EC86" s="33"/>
      <c r="ED86" s="33"/>
      <c r="EF86" s="33"/>
      <c r="EG86" s="33"/>
      <c r="EH86" s="33"/>
      <c r="EI86" s="33"/>
      <c r="EJ86" s="33"/>
      <c r="EK86" s="33"/>
      <c r="EL86" s="33"/>
      <c r="EM86" s="33"/>
      <c r="EO86" s="33"/>
      <c r="EP86" s="33"/>
      <c r="EQ86" s="33"/>
      <c r="EW86" s="33">
        <v>4</v>
      </c>
      <c r="EY86" s="770" t="str">
        <f t="shared" si="448"/>
        <v/>
      </c>
      <c r="EZ86" s="794" t="str">
        <f t="shared" si="449"/>
        <v/>
      </c>
      <c r="FA86" s="7" t="str">
        <f t="shared" si="447"/>
        <v/>
      </c>
      <c r="FB86" s="7" t="str" cm="1">
        <f t="array" ref="FB86">IF(FA86="","",INDEX($FB$54:$FB$78,FA86))</f>
        <v/>
      </c>
      <c r="FC86" s="121" t="str">
        <f t="shared" si="450"/>
        <v/>
      </c>
      <c r="FD86" s="115" t="str">
        <f t="shared" si="451"/>
        <v/>
      </c>
      <c r="FE86" s="92">
        <f t="shared" si="452"/>
        <v>0</v>
      </c>
      <c r="FF86" s="711">
        <f t="shared" si="453"/>
        <v>0</v>
      </c>
      <c r="FG86" s="702">
        <f t="shared" si="453"/>
        <v>0</v>
      </c>
      <c r="FH86" s="19">
        <f t="shared" si="478"/>
        <v>0</v>
      </c>
      <c r="FI86" s="718"/>
      <c r="FJ86" s="701" t="str">
        <f t="shared" si="479"/>
        <v/>
      </c>
      <c r="FK86" s="66">
        <f t="shared" si="454"/>
        <v>0</v>
      </c>
      <c r="FL86" s="715"/>
      <c r="FM86" s="716"/>
      <c r="FN86" s="701" t="str">
        <f t="shared" si="480"/>
        <v/>
      </c>
      <c r="FO86" s="66">
        <f t="shared" si="455"/>
        <v>0</v>
      </c>
      <c r="FP86" s="715"/>
      <c r="FQ86" s="716"/>
      <c r="FR86" s="701" t="str">
        <f t="shared" si="481"/>
        <v/>
      </c>
      <c r="FS86" s="66">
        <f t="shared" si="456"/>
        <v>0</v>
      </c>
      <c r="FT86" s="715"/>
      <c r="FU86" s="716"/>
      <c r="FV86" s="701" t="str">
        <f t="shared" si="482"/>
        <v/>
      </c>
      <c r="FW86" s="66">
        <f t="shared" si="457"/>
        <v>0</v>
      </c>
      <c r="FX86" s="715"/>
      <c r="FY86" s="716"/>
      <c r="FZ86" s="701" t="str">
        <f t="shared" si="483"/>
        <v/>
      </c>
      <c r="GA86" s="66">
        <f t="shared" si="458"/>
        <v>0</v>
      </c>
      <c r="GB86" s="715"/>
      <c r="GC86" s="716"/>
      <c r="GD86" s="701" t="str">
        <f t="shared" si="484"/>
        <v/>
      </c>
      <c r="GE86" s="66">
        <f t="shared" si="459"/>
        <v>0</v>
      </c>
      <c r="GF86" s="715"/>
      <c r="GG86" s="716"/>
      <c r="GH86" s="701" t="str">
        <f t="shared" si="485"/>
        <v/>
      </c>
      <c r="GI86" s="66">
        <f t="shared" si="460"/>
        <v>0</v>
      </c>
      <c r="GJ86" s="715"/>
      <c r="GK86" s="716"/>
      <c r="GL86" s="701" t="str">
        <f t="shared" si="486"/>
        <v/>
      </c>
      <c r="GM86" s="66">
        <f t="shared" si="461"/>
        <v>0</v>
      </c>
      <c r="GN86" s="715"/>
      <c r="GO86" s="716"/>
      <c r="GP86" s="701" t="str">
        <f t="shared" si="487"/>
        <v/>
      </c>
      <c r="GQ86" s="66">
        <f t="shared" si="462"/>
        <v>0</v>
      </c>
      <c r="GR86" s="715"/>
      <c r="GS86" s="716"/>
      <c r="GT86" s="701" t="str">
        <f t="shared" si="488"/>
        <v/>
      </c>
      <c r="GU86" s="66">
        <f t="shared" si="463"/>
        <v>0</v>
      </c>
      <c r="GV86" s="715"/>
      <c r="GW86" s="716"/>
      <c r="GX86" s="701" t="str">
        <f t="shared" si="489"/>
        <v/>
      </c>
      <c r="GY86" s="66">
        <f t="shared" si="464"/>
        <v>0</v>
      </c>
      <c r="GZ86" s="715"/>
      <c r="HA86" s="716"/>
      <c r="HB86" s="701" t="str">
        <f t="shared" si="490"/>
        <v/>
      </c>
      <c r="HC86" s="66">
        <f t="shared" si="465"/>
        <v>0</v>
      </c>
      <c r="HD86" s="715"/>
      <c r="HE86" s="716"/>
      <c r="HF86" s="701" t="str">
        <f t="shared" si="491"/>
        <v/>
      </c>
      <c r="HG86" s="66">
        <f t="shared" si="466"/>
        <v>0</v>
      </c>
      <c r="HH86" s="715"/>
      <c r="HI86" s="716"/>
      <c r="HJ86" s="701" t="str">
        <f t="shared" si="492"/>
        <v/>
      </c>
      <c r="HK86" s="66">
        <f t="shared" si="467"/>
        <v>0</v>
      </c>
      <c r="HL86" s="715"/>
      <c r="HM86" s="716"/>
      <c r="HN86" s="701" t="str">
        <f t="shared" si="493"/>
        <v/>
      </c>
      <c r="HO86" s="66">
        <f t="shared" si="468"/>
        <v>0</v>
      </c>
      <c r="HP86" s="715"/>
      <c r="HQ86" s="716"/>
      <c r="HR86" s="701" t="str">
        <f t="shared" si="494"/>
        <v/>
      </c>
      <c r="HS86" s="66">
        <f t="shared" si="469"/>
        <v>0</v>
      </c>
      <c r="HT86" s="715"/>
      <c r="HU86" s="716"/>
      <c r="HV86" s="701" t="str">
        <f t="shared" si="495"/>
        <v/>
      </c>
      <c r="HW86" s="66">
        <f t="shared" si="470"/>
        <v>0</v>
      </c>
      <c r="HX86" s="715"/>
      <c r="HY86" s="716"/>
      <c r="HZ86" s="701" t="str">
        <f t="shared" si="496"/>
        <v/>
      </c>
      <c r="IA86" s="66">
        <f t="shared" si="471"/>
        <v>0</v>
      </c>
      <c r="IB86" s="715"/>
      <c r="IC86" s="716"/>
      <c r="ID86" s="701" t="str">
        <f t="shared" si="497"/>
        <v/>
      </c>
      <c r="IE86" s="66">
        <f t="shared" si="472"/>
        <v>0</v>
      </c>
      <c r="IF86" s="715"/>
      <c r="IG86" s="716"/>
      <c r="IH86" s="701" t="str">
        <f t="shared" si="498"/>
        <v/>
      </c>
      <c r="II86" s="66">
        <f t="shared" si="473"/>
        <v>0</v>
      </c>
      <c r="IJ86" s="715"/>
      <c r="IK86" s="716"/>
      <c r="IL86" s="701" t="str">
        <f t="shared" si="499"/>
        <v/>
      </c>
      <c r="IM86" s="66">
        <f t="shared" si="474"/>
        <v>0</v>
      </c>
      <c r="IN86" s="715"/>
      <c r="IO86" s="716"/>
      <c r="IP86" s="701" t="str">
        <f t="shared" si="500"/>
        <v/>
      </c>
      <c r="IQ86" s="66">
        <f t="shared" si="475"/>
        <v>0</v>
      </c>
      <c r="IR86" s="715"/>
      <c r="IS86" s="716"/>
      <c r="IT86" s="701" t="str">
        <f t="shared" si="501"/>
        <v/>
      </c>
      <c r="IU86" s="66">
        <f t="shared" si="476"/>
        <v>0</v>
      </c>
      <c r="IV86" s="715"/>
      <c r="IW86" s="716"/>
      <c r="IX86" s="701" t="str">
        <f t="shared" si="502"/>
        <v/>
      </c>
      <c r="IY86" s="66">
        <f t="shared" si="477"/>
        <v>0</v>
      </c>
    </row>
    <row r="87" spans="46:259" ht="13.3" thickTop="1" thickBot="1" x14ac:dyDescent="0.35">
      <c r="AT87" s="756" t="str">
        <f>IF($EW$23="","",LOOKUP($EW$23,$EU$25:$EU$49,DV$25:DV$49))</f>
        <v/>
      </c>
      <c r="AU87" s="172">
        <f>IF($N$21+2&lt;=$AU$84,$N$21+2,"")</f>
        <v>3</v>
      </c>
      <c r="AV87" s="251" t="str">
        <f t="shared" ref="AV87:AV93" si="524">IF(AW87="","",AW87+AV86)</f>
        <v/>
      </c>
      <c r="AW87" s="247" t="str">
        <f t="shared" si="510"/>
        <v/>
      </c>
      <c r="AX87" s="1366"/>
      <c r="AY87" s="172" t="str">
        <f>IF(OR($AZ$84="",AZ87=""),"",AY86-1)</f>
        <v/>
      </c>
      <c r="AZ87" s="678" t="str">
        <f t="shared" si="511"/>
        <v/>
      </c>
      <c r="BA87" s="809" t="str">
        <f t="shared" si="512"/>
        <v/>
      </c>
      <c r="BB87" s="1378">
        <v>3</v>
      </c>
      <c r="BC87" s="809" t="str">
        <f t="shared" si="513"/>
        <v/>
      </c>
      <c r="BD87" s="1376">
        <f t="shared" si="514"/>
        <v>3</v>
      </c>
      <c r="BE87" s="1370" t="str">
        <f t="shared" si="503"/>
        <v/>
      </c>
      <c r="BF87" s="1369" t="str">
        <f t="shared" ref="BF87:BF93" si="525">IF(BE87="","",BF86+BE87)</f>
        <v/>
      </c>
      <c r="BG87" s="1379" t="str">
        <f t="shared" si="515"/>
        <v/>
      </c>
      <c r="BH87" s="216" t="str">
        <f t="shared" ref="BH87:BH93" si="526">IF(OR(AT87="",AU87=""),"",MATCH(AT87,$G$25:$G$49,0))</f>
        <v/>
      </c>
      <c r="BI87" s="88">
        <f t="shared" si="516"/>
        <v>0</v>
      </c>
      <c r="BJ87" s="244">
        <f t="shared" si="517"/>
        <v>0</v>
      </c>
      <c r="BK87" s="245" t="str">
        <f t="shared" si="504"/>
        <v/>
      </c>
      <c r="BL87" s="246" t="str">
        <f t="shared" si="505"/>
        <v/>
      </c>
      <c r="BM87" s="247" t="str">
        <f t="shared" si="506"/>
        <v/>
      </c>
      <c r="BN87" s="249" t="str">
        <f t="shared" si="507"/>
        <v/>
      </c>
      <c r="BO87" s="249" t="str">
        <f t="shared" si="508"/>
        <v/>
      </c>
      <c r="BP87" s="249" t="str">
        <f t="shared" si="518"/>
        <v/>
      </c>
      <c r="BQ87" s="252" t="str">
        <f t="shared" si="509"/>
        <v/>
      </c>
      <c r="BR87" s="248">
        <f t="shared" si="519"/>
        <v>0</v>
      </c>
      <c r="BS87" s="248">
        <f t="shared" si="520"/>
        <v>0</v>
      </c>
      <c r="BT87" s="248">
        <f t="shared" si="521"/>
        <v>0</v>
      </c>
      <c r="BU87" s="249" t="str">
        <f t="shared" ref="BU87:BU94" si="527">IF(AV87="","",IF($M$15="",ROUND((61.7*100000*((AV87/$B$17)^1.85/($P$16^1.85*$FD$20)))^(1/4.87),1),ROUND(((4^11*$P$16^4*((AV87/$B$17/60)*0.001)^7)/(PI()^7*$FD$20^4))^(1/19)*1000,1)))</f>
        <v/>
      </c>
      <c r="BV87" s="250">
        <f t="shared" si="522"/>
        <v>0</v>
      </c>
      <c r="BW87" s="243" t="str">
        <f t="shared" si="523"/>
        <v/>
      </c>
      <c r="BX87" s="243" t="str">
        <f>IF(OR(BU87="",BU87=0),"",IF(BW87&gt;'Quadro 1'!$G$23,'Quadro 1'!$G$23,IF(BW87&lt;'Quadro 1'!$G$10,'Quadro 1'!$G$10,MIN(BY87:BZ87))))</f>
        <v/>
      </c>
      <c r="BY87" s="243" t="str">
        <f>IF($BW87&lt;='Quadro 1'!$G$10,'Quadro 1'!$G$10,IF($BW87&lt;='Quadro 1'!$G$11,'Quadro 1'!$G$11,IF($BW87&lt;='Quadro 1'!$G$12,'Quadro 1'!$G$12,IF($BW87&lt;='Quadro 1'!$G$13,'Quadro 1'!$G$13,IF($BW87&lt;='Quadro 1'!$G$14,'Quadro 1'!$G$14,IF($BW87&lt;='Quadro 1'!$G$15,'Quadro 1'!$G$15,IF($BW87&lt;='Quadro 1'!$G$16,'Quadro 1'!$G$16,"")))))))</f>
        <v/>
      </c>
      <c r="BZ87" s="243" t="str">
        <f>IF(OR(BU87="",BU87=0),"",IF($BW87&lt;='Quadro 1'!$G$17,'Quadro 1'!$G$17,IF($BW87&lt;='Quadro 1'!$G$18,'Quadro 1'!$G$18,IF($BW87&lt;='Quadro 1'!$G$19,'Quadro 1'!$G$19,IF($BW87&lt;='Quadro 1'!$G$20,'Quadro 1'!$G$20,IF($BW87&lt;='Quadro 1'!$G$21,'Quadro 1'!$G$21,IF($BW87&lt;='Quadro 1'!$G$22,'Quadro 1'!$G$22,IF($BW87&lt;='Quadro 1'!$G$23,'Quadro 1'!$G$23,'Quadro 1'!$G$23))))))))</f>
        <v/>
      </c>
      <c r="EB87" s="33"/>
      <c r="EC87" s="33"/>
      <c r="ED87" s="33"/>
      <c r="EF87" s="33"/>
      <c r="EG87" s="33"/>
      <c r="EH87" s="33"/>
      <c r="EI87" s="33"/>
      <c r="EJ87" s="33"/>
      <c r="EK87" s="33"/>
      <c r="EL87" s="33"/>
      <c r="EM87" s="33"/>
      <c r="EO87" s="33"/>
      <c r="EP87" s="33"/>
      <c r="EQ87" s="33"/>
      <c r="EW87" s="33">
        <v>5</v>
      </c>
      <c r="EY87" s="770" t="str">
        <f t="shared" si="448"/>
        <v/>
      </c>
      <c r="EZ87" s="794" t="str">
        <f t="shared" si="449"/>
        <v/>
      </c>
      <c r="FA87" s="7" t="str">
        <f t="shared" si="447"/>
        <v/>
      </c>
      <c r="FB87" s="7" t="str" cm="1">
        <f t="array" ref="FB87">IF(FA87="","",INDEX($FB$54:$FB$78,FA87))</f>
        <v/>
      </c>
      <c r="FC87" s="121" t="str">
        <f t="shared" si="450"/>
        <v/>
      </c>
      <c r="FD87" s="115" t="str">
        <f t="shared" si="451"/>
        <v/>
      </c>
      <c r="FE87" s="92">
        <f t="shared" si="452"/>
        <v>0</v>
      </c>
      <c r="FF87" s="711">
        <f t="shared" si="453"/>
        <v>0</v>
      </c>
      <c r="FG87" s="702">
        <f t="shared" si="453"/>
        <v>0</v>
      </c>
      <c r="FH87" s="19">
        <f t="shared" si="478"/>
        <v>0</v>
      </c>
      <c r="FI87" s="718"/>
      <c r="FJ87" s="701" t="str">
        <f t="shared" si="479"/>
        <v/>
      </c>
      <c r="FK87" s="66">
        <f t="shared" si="454"/>
        <v>0</v>
      </c>
      <c r="FL87" s="715"/>
      <c r="FM87" s="716"/>
      <c r="FN87" s="701" t="str">
        <f t="shared" si="480"/>
        <v/>
      </c>
      <c r="FO87" s="66">
        <f t="shared" si="455"/>
        <v>0</v>
      </c>
      <c r="FP87" s="715"/>
      <c r="FQ87" s="716"/>
      <c r="FR87" s="701" t="str">
        <f t="shared" si="481"/>
        <v/>
      </c>
      <c r="FS87" s="66">
        <f t="shared" si="456"/>
        <v>0</v>
      </c>
      <c r="FT87" s="715"/>
      <c r="FU87" s="716"/>
      <c r="FV87" s="701" t="str">
        <f t="shared" si="482"/>
        <v/>
      </c>
      <c r="FW87" s="66">
        <f t="shared" si="457"/>
        <v>0</v>
      </c>
      <c r="FX87" s="715"/>
      <c r="FY87" s="716"/>
      <c r="FZ87" s="701" t="str">
        <f t="shared" si="483"/>
        <v/>
      </c>
      <c r="GA87" s="66">
        <f t="shared" si="458"/>
        <v>0</v>
      </c>
      <c r="GB87" s="715"/>
      <c r="GC87" s="716"/>
      <c r="GD87" s="701" t="str">
        <f t="shared" si="484"/>
        <v/>
      </c>
      <c r="GE87" s="66">
        <f t="shared" si="459"/>
        <v>0</v>
      </c>
      <c r="GF87" s="715"/>
      <c r="GG87" s="716"/>
      <c r="GH87" s="701" t="str">
        <f t="shared" si="485"/>
        <v/>
      </c>
      <c r="GI87" s="66">
        <f t="shared" si="460"/>
        <v>0</v>
      </c>
      <c r="GJ87" s="715"/>
      <c r="GK87" s="716"/>
      <c r="GL87" s="701" t="str">
        <f t="shared" si="486"/>
        <v/>
      </c>
      <c r="GM87" s="66">
        <f t="shared" si="461"/>
        <v>0</v>
      </c>
      <c r="GN87" s="715"/>
      <c r="GO87" s="716"/>
      <c r="GP87" s="701" t="str">
        <f t="shared" si="487"/>
        <v/>
      </c>
      <c r="GQ87" s="66">
        <f t="shared" si="462"/>
        <v>0</v>
      </c>
      <c r="GR87" s="715"/>
      <c r="GS87" s="716"/>
      <c r="GT87" s="701" t="str">
        <f t="shared" si="488"/>
        <v/>
      </c>
      <c r="GU87" s="66">
        <f t="shared" si="463"/>
        <v>0</v>
      </c>
      <c r="GV87" s="715"/>
      <c r="GW87" s="716"/>
      <c r="GX87" s="701" t="str">
        <f t="shared" si="489"/>
        <v/>
      </c>
      <c r="GY87" s="66">
        <f t="shared" si="464"/>
        <v>0</v>
      </c>
      <c r="GZ87" s="715"/>
      <c r="HA87" s="716"/>
      <c r="HB87" s="701" t="str">
        <f t="shared" si="490"/>
        <v/>
      </c>
      <c r="HC87" s="66">
        <f t="shared" si="465"/>
        <v>0</v>
      </c>
      <c r="HD87" s="715"/>
      <c r="HE87" s="716"/>
      <c r="HF87" s="701" t="str">
        <f t="shared" si="491"/>
        <v/>
      </c>
      <c r="HG87" s="66">
        <f t="shared" si="466"/>
        <v>0</v>
      </c>
      <c r="HH87" s="715"/>
      <c r="HI87" s="716"/>
      <c r="HJ87" s="701" t="str">
        <f t="shared" si="492"/>
        <v/>
      </c>
      <c r="HK87" s="66">
        <f t="shared" si="467"/>
        <v>0</v>
      </c>
      <c r="HL87" s="715"/>
      <c r="HM87" s="716"/>
      <c r="HN87" s="701" t="str">
        <f t="shared" si="493"/>
        <v/>
      </c>
      <c r="HO87" s="66">
        <f t="shared" si="468"/>
        <v>0</v>
      </c>
      <c r="HP87" s="715"/>
      <c r="HQ87" s="716"/>
      <c r="HR87" s="701" t="str">
        <f t="shared" si="494"/>
        <v/>
      </c>
      <c r="HS87" s="66">
        <f t="shared" si="469"/>
        <v>0</v>
      </c>
      <c r="HT87" s="715"/>
      <c r="HU87" s="716"/>
      <c r="HV87" s="701" t="str">
        <f t="shared" si="495"/>
        <v/>
      </c>
      <c r="HW87" s="66">
        <f t="shared" si="470"/>
        <v>0</v>
      </c>
      <c r="HX87" s="715"/>
      <c r="HY87" s="716"/>
      <c r="HZ87" s="701" t="str">
        <f t="shared" si="496"/>
        <v/>
      </c>
      <c r="IA87" s="66">
        <f t="shared" si="471"/>
        <v>0</v>
      </c>
      <c r="IB87" s="715"/>
      <c r="IC87" s="716"/>
      <c r="ID87" s="701" t="str">
        <f t="shared" si="497"/>
        <v/>
      </c>
      <c r="IE87" s="66">
        <f t="shared" si="472"/>
        <v>0</v>
      </c>
      <c r="IF87" s="715"/>
      <c r="IG87" s="716"/>
      <c r="IH87" s="701" t="str">
        <f t="shared" si="498"/>
        <v/>
      </c>
      <c r="II87" s="66">
        <f t="shared" si="473"/>
        <v>0</v>
      </c>
      <c r="IJ87" s="715"/>
      <c r="IK87" s="716"/>
      <c r="IL87" s="701" t="str">
        <f t="shared" si="499"/>
        <v/>
      </c>
      <c r="IM87" s="66">
        <f t="shared" si="474"/>
        <v>0</v>
      </c>
      <c r="IN87" s="715"/>
      <c r="IO87" s="716"/>
      <c r="IP87" s="701" t="str">
        <f t="shared" si="500"/>
        <v/>
      </c>
      <c r="IQ87" s="66">
        <f t="shared" si="475"/>
        <v>0</v>
      </c>
      <c r="IR87" s="715"/>
      <c r="IS87" s="716"/>
      <c r="IT87" s="701" t="str">
        <f t="shared" si="501"/>
        <v/>
      </c>
      <c r="IU87" s="66">
        <f t="shared" si="476"/>
        <v>0</v>
      </c>
      <c r="IV87" s="715"/>
      <c r="IW87" s="716"/>
      <c r="IX87" s="701" t="str">
        <f t="shared" si="502"/>
        <v/>
      </c>
      <c r="IY87" s="66">
        <f t="shared" si="477"/>
        <v>0</v>
      </c>
    </row>
    <row r="88" spans="46:259" ht="13.3" thickTop="1" thickBot="1" x14ac:dyDescent="0.35">
      <c r="AT88" s="756" t="str">
        <f>IF($EW$23="","",LOOKUP($EW$23,$EU$25:$EU$49,DW$25:DW$49))</f>
        <v/>
      </c>
      <c r="AU88" s="172">
        <f>IF($N$21+3&lt;=$AU$84,$N$21+3,"")</f>
        <v>4</v>
      </c>
      <c r="AV88" s="251" t="str">
        <f t="shared" si="524"/>
        <v/>
      </c>
      <c r="AW88" s="247" t="str">
        <f t="shared" si="510"/>
        <v/>
      </c>
      <c r="AX88" s="1366"/>
      <c r="AY88" s="172" t="str">
        <f t="shared" ref="AY88:AY93" si="528">IF(OR($AZ$84="",AZ88=""),"",AY87-1)</f>
        <v/>
      </c>
      <c r="AZ88" s="678" t="str">
        <f t="shared" si="511"/>
        <v/>
      </c>
      <c r="BA88" s="809" t="str">
        <f t="shared" si="512"/>
        <v/>
      </c>
      <c r="BB88" s="1378">
        <v>4</v>
      </c>
      <c r="BC88" s="809" t="str">
        <f t="shared" si="513"/>
        <v/>
      </c>
      <c r="BD88" s="1376">
        <f t="shared" si="514"/>
        <v>4</v>
      </c>
      <c r="BE88" s="1370" t="str">
        <f t="shared" si="503"/>
        <v/>
      </c>
      <c r="BF88" s="1369" t="str">
        <f t="shared" si="525"/>
        <v/>
      </c>
      <c r="BG88" s="1379" t="str">
        <f t="shared" si="515"/>
        <v/>
      </c>
      <c r="BH88" s="216" t="str">
        <f>IF(OR(AT88="",AU88=""),"",MATCH(AT88,$G$25:$G$49,0))</f>
        <v/>
      </c>
      <c r="BI88" s="88">
        <f t="shared" si="516"/>
        <v>0</v>
      </c>
      <c r="BJ88" s="244">
        <f t="shared" si="517"/>
        <v>0</v>
      </c>
      <c r="BK88" s="245" t="str">
        <f t="shared" si="504"/>
        <v/>
      </c>
      <c r="BL88" s="246" t="str">
        <f t="shared" si="505"/>
        <v/>
      </c>
      <c r="BM88" s="247" t="str">
        <f t="shared" si="506"/>
        <v/>
      </c>
      <c r="BN88" s="249" t="str">
        <f t="shared" si="507"/>
        <v/>
      </c>
      <c r="BO88" s="249" t="str">
        <f t="shared" si="508"/>
        <v/>
      </c>
      <c r="BP88" s="249" t="str">
        <f t="shared" si="518"/>
        <v/>
      </c>
      <c r="BQ88" s="252" t="str">
        <f t="shared" si="509"/>
        <v/>
      </c>
      <c r="BR88" s="248">
        <f t="shared" si="519"/>
        <v>0</v>
      </c>
      <c r="BS88" s="248">
        <f t="shared" si="520"/>
        <v>0</v>
      </c>
      <c r="BT88" s="248">
        <f t="shared" si="521"/>
        <v>0</v>
      </c>
      <c r="BU88" s="249" t="str">
        <f t="shared" si="527"/>
        <v/>
      </c>
      <c r="BV88" s="250">
        <f t="shared" si="522"/>
        <v>0</v>
      </c>
      <c r="BW88" s="243" t="str">
        <f t="shared" si="523"/>
        <v/>
      </c>
      <c r="BX88" s="243" t="str">
        <f>IF(OR(BU88="",BU88=0),"",IF(BW88&gt;'Quadro 1'!$G$23,'Quadro 1'!$G$23,IF(BW88&lt;'Quadro 1'!$G$10,'Quadro 1'!$G$10,MIN(BY88:BZ88))))</f>
        <v/>
      </c>
      <c r="BY88" s="243" t="str">
        <f>IF($BW88&lt;='Quadro 1'!$G$10,'Quadro 1'!$G$10,IF($BW88&lt;='Quadro 1'!$G$11,'Quadro 1'!$G$11,IF($BW88&lt;='Quadro 1'!$G$12,'Quadro 1'!$G$12,IF($BW88&lt;='Quadro 1'!$G$13,'Quadro 1'!$G$13,IF($BW88&lt;='Quadro 1'!$G$14,'Quadro 1'!$G$14,IF($BW88&lt;='Quadro 1'!$G$15,'Quadro 1'!$G$15,IF($BW88&lt;='Quadro 1'!$G$16,'Quadro 1'!$G$16,"")))))))</f>
        <v/>
      </c>
      <c r="BZ88" s="243" t="str">
        <f>IF(OR(BU88="",BU88=0),"",IF($BW88&lt;='Quadro 1'!$G$17,'Quadro 1'!$G$17,IF($BW88&lt;='Quadro 1'!$G$18,'Quadro 1'!$G$18,IF($BW88&lt;='Quadro 1'!$G$19,'Quadro 1'!$G$19,IF($BW88&lt;='Quadro 1'!$G$20,'Quadro 1'!$G$20,IF($BW88&lt;='Quadro 1'!$G$21,'Quadro 1'!$G$21,IF($BW88&lt;='Quadro 1'!$G$22,'Quadro 1'!$G$22,IF($BW88&lt;='Quadro 1'!$G$23,'Quadro 1'!$G$23,'Quadro 1'!$G$23))))))))</f>
        <v/>
      </c>
      <c r="EB88" s="33"/>
      <c r="EC88" s="33"/>
      <c r="ED88" s="33"/>
      <c r="EF88" s="33"/>
      <c r="EG88" s="33"/>
      <c r="EH88" s="33"/>
      <c r="EI88" s="33"/>
      <c r="EJ88" s="33"/>
      <c r="EK88" s="33"/>
      <c r="EL88" s="33"/>
      <c r="EM88" s="33"/>
      <c r="EO88" s="33"/>
      <c r="EP88" s="33"/>
      <c r="EQ88" s="33"/>
      <c r="EW88" s="33">
        <v>6</v>
      </c>
      <c r="EY88" s="770" t="str">
        <f t="shared" si="448"/>
        <v/>
      </c>
      <c r="EZ88" s="794" t="str">
        <f t="shared" si="449"/>
        <v/>
      </c>
      <c r="FA88" s="7" t="str">
        <f t="shared" si="447"/>
        <v/>
      </c>
      <c r="FB88" s="7" t="str" cm="1">
        <f t="array" ref="FB88">IF(FA88="","",INDEX($FB$54:$FB$78,FA88))</f>
        <v/>
      </c>
      <c r="FC88" s="121" t="str">
        <f t="shared" si="450"/>
        <v/>
      </c>
      <c r="FD88" s="115" t="str">
        <f t="shared" si="451"/>
        <v/>
      </c>
      <c r="FE88" s="92">
        <f t="shared" si="452"/>
        <v>0</v>
      </c>
      <c r="FF88" s="711">
        <f t="shared" si="453"/>
        <v>0</v>
      </c>
      <c r="FG88" s="702">
        <f t="shared" si="453"/>
        <v>0</v>
      </c>
      <c r="FH88" s="19">
        <f t="shared" si="478"/>
        <v>0</v>
      </c>
      <c r="FI88" s="718"/>
      <c r="FJ88" s="701" t="str">
        <f t="shared" si="479"/>
        <v/>
      </c>
      <c r="FK88" s="66">
        <f t="shared" si="454"/>
        <v>0</v>
      </c>
      <c r="FL88" s="715"/>
      <c r="FM88" s="716"/>
      <c r="FN88" s="701" t="str">
        <f t="shared" si="480"/>
        <v/>
      </c>
      <c r="FO88" s="66">
        <f t="shared" si="455"/>
        <v>0</v>
      </c>
      <c r="FP88" s="715"/>
      <c r="FQ88" s="716"/>
      <c r="FR88" s="701" t="str">
        <f t="shared" si="481"/>
        <v/>
      </c>
      <c r="FS88" s="66">
        <f t="shared" si="456"/>
        <v>0</v>
      </c>
      <c r="FT88" s="715"/>
      <c r="FU88" s="716"/>
      <c r="FV88" s="701" t="str">
        <f t="shared" si="482"/>
        <v/>
      </c>
      <c r="FW88" s="66">
        <f t="shared" si="457"/>
        <v>0</v>
      </c>
      <c r="FX88" s="715"/>
      <c r="FY88" s="716"/>
      <c r="FZ88" s="701" t="str">
        <f t="shared" si="483"/>
        <v/>
      </c>
      <c r="GA88" s="66">
        <f t="shared" si="458"/>
        <v>0</v>
      </c>
      <c r="GB88" s="715"/>
      <c r="GC88" s="716"/>
      <c r="GD88" s="701" t="str">
        <f t="shared" si="484"/>
        <v/>
      </c>
      <c r="GE88" s="66">
        <f t="shared" si="459"/>
        <v>0</v>
      </c>
      <c r="GF88" s="715"/>
      <c r="GG88" s="716"/>
      <c r="GH88" s="701" t="str">
        <f t="shared" si="485"/>
        <v/>
      </c>
      <c r="GI88" s="66">
        <f t="shared" si="460"/>
        <v>0</v>
      </c>
      <c r="GJ88" s="715"/>
      <c r="GK88" s="716"/>
      <c r="GL88" s="701" t="str">
        <f t="shared" si="486"/>
        <v/>
      </c>
      <c r="GM88" s="66">
        <f t="shared" si="461"/>
        <v>0</v>
      </c>
      <c r="GN88" s="715"/>
      <c r="GO88" s="716"/>
      <c r="GP88" s="701" t="str">
        <f t="shared" si="487"/>
        <v/>
      </c>
      <c r="GQ88" s="66">
        <f t="shared" si="462"/>
        <v>0</v>
      </c>
      <c r="GR88" s="715"/>
      <c r="GS88" s="716"/>
      <c r="GT88" s="701" t="str">
        <f t="shared" si="488"/>
        <v/>
      </c>
      <c r="GU88" s="66">
        <f t="shared" si="463"/>
        <v>0</v>
      </c>
      <c r="GV88" s="715"/>
      <c r="GW88" s="716"/>
      <c r="GX88" s="701" t="str">
        <f t="shared" si="489"/>
        <v/>
      </c>
      <c r="GY88" s="66">
        <f t="shared" si="464"/>
        <v>0</v>
      </c>
      <c r="GZ88" s="715"/>
      <c r="HA88" s="716"/>
      <c r="HB88" s="701" t="str">
        <f t="shared" si="490"/>
        <v/>
      </c>
      <c r="HC88" s="66">
        <f t="shared" si="465"/>
        <v>0</v>
      </c>
      <c r="HD88" s="715"/>
      <c r="HE88" s="716"/>
      <c r="HF88" s="701" t="str">
        <f t="shared" si="491"/>
        <v/>
      </c>
      <c r="HG88" s="66">
        <f t="shared" si="466"/>
        <v>0</v>
      </c>
      <c r="HH88" s="715"/>
      <c r="HI88" s="716"/>
      <c r="HJ88" s="701" t="str">
        <f t="shared" si="492"/>
        <v/>
      </c>
      <c r="HK88" s="66">
        <f t="shared" si="467"/>
        <v>0</v>
      </c>
      <c r="HL88" s="715"/>
      <c r="HM88" s="716"/>
      <c r="HN88" s="701" t="str">
        <f t="shared" si="493"/>
        <v/>
      </c>
      <c r="HO88" s="66">
        <f t="shared" si="468"/>
        <v>0</v>
      </c>
      <c r="HP88" s="715"/>
      <c r="HQ88" s="716"/>
      <c r="HR88" s="701" t="str">
        <f t="shared" si="494"/>
        <v/>
      </c>
      <c r="HS88" s="66">
        <f t="shared" si="469"/>
        <v>0</v>
      </c>
      <c r="HT88" s="715"/>
      <c r="HU88" s="716"/>
      <c r="HV88" s="701" t="str">
        <f t="shared" si="495"/>
        <v/>
      </c>
      <c r="HW88" s="66">
        <f t="shared" si="470"/>
        <v>0</v>
      </c>
      <c r="HX88" s="715"/>
      <c r="HY88" s="716"/>
      <c r="HZ88" s="701" t="str">
        <f t="shared" si="496"/>
        <v/>
      </c>
      <c r="IA88" s="66">
        <f t="shared" si="471"/>
        <v>0</v>
      </c>
      <c r="IB88" s="715"/>
      <c r="IC88" s="716"/>
      <c r="ID88" s="701" t="str">
        <f t="shared" si="497"/>
        <v/>
      </c>
      <c r="IE88" s="66">
        <f t="shared" si="472"/>
        <v>0</v>
      </c>
      <c r="IF88" s="715"/>
      <c r="IG88" s="716"/>
      <c r="IH88" s="701" t="str">
        <f t="shared" si="498"/>
        <v/>
      </c>
      <c r="II88" s="66">
        <f t="shared" si="473"/>
        <v>0</v>
      </c>
      <c r="IJ88" s="715"/>
      <c r="IK88" s="716"/>
      <c r="IL88" s="701" t="str">
        <f t="shared" si="499"/>
        <v/>
      </c>
      <c r="IM88" s="66">
        <f t="shared" si="474"/>
        <v>0</v>
      </c>
      <c r="IN88" s="715"/>
      <c r="IO88" s="716"/>
      <c r="IP88" s="701" t="str">
        <f t="shared" si="500"/>
        <v/>
      </c>
      <c r="IQ88" s="66">
        <f t="shared" si="475"/>
        <v>0</v>
      </c>
      <c r="IR88" s="715"/>
      <c r="IS88" s="716"/>
      <c r="IT88" s="701" t="str">
        <f t="shared" si="501"/>
        <v/>
      </c>
      <c r="IU88" s="66">
        <f t="shared" si="476"/>
        <v>0</v>
      </c>
      <c r="IV88" s="715"/>
      <c r="IW88" s="716"/>
      <c r="IX88" s="701" t="str">
        <f t="shared" si="502"/>
        <v/>
      </c>
      <c r="IY88" s="66">
        <f t="shared" si="477"/>
        <v>0</v>
      </c>
    </row>
    <row r="89" spans="46:259" ht="13.3" thickTop="1" thickBot="1" x14ac:dyDescent="0.35">
      <c r="AT89" s="756" t="str">
        <f>IF($EW$23="","",LOOKUP($EW$23,$EU$25:$EU$49,DX$25:DX$49))</f>
        <v/>
      </c>
      <c r="AU89" s="172">
        <f>IF($N$21+4&lt;=$AU$84,$N$21+4,"")</f>
        <v>5</v>
      </c>
      <c r="AV89" s="251" t="str">
        <f t="shared" si="524"/>
        <v/>
      </c>
      <c r="AW89" s="247" t="str">
        <f t="shared" si="510"/>
        <v/>
      </c>
      <c r="AY89" s="172" t="str">
        <f t="shared" si="528"/>
        <v/>
      </c>
      <c r="AZ89" s="678" t="str">
        <f t="shared" si="511"/>
        <v/>
      </c>
      <c r="BA89" s="809" t="str">
        <f t="shared" si="512"/>
        <v/>
      </c>
      <c r="BB89" s="1378">
        <v>5</v>
      </c>
      <c r="BC89" s="809" t="str">
        <f t="shared" si="513"/>
        <v/>
      </c>
      <c r="BD89" s="1376">
        <f t="shared" si="514"/>
        <v>5</v>
      </c>
      <c r="BE89" s="1370" t="str">
        <f t="shared" si="503"/>
        <v/>
      </c>
      <c r="BF89" s="1369" t="str">
        <f t="shared" si="525"/>
        <v/>
      </c>
      <c r="BG89" s="1379" t="str">
        <f t="shared" si="515"/>
        <v/>
      </c>
      <c r="BH89" s="216" t="str">
        <f t="shared" si="526"/>
        <v/>
      </c>
      <c r="BI89" s="88">
        <f t="shared" si="516"/>
        <v>0</v>
      </c>
      <c r="BJ89" s="244">
        <f t="shared" si="517"/>
        <v>0</v>
      </c>
      <c r="BK89" s="245" t="str">
        <f t="shared" si="504"/>
        <v/>
      </c>
      <c r="BL89" s="246" t="str">
        <f t="shared" si="505"/>
        <v/>
      </c>
      <c r="BM89" s="247" t="str">
        <f t="shared" si="506"/>
        <v/>
      </c>
      <c r="BN89" s="249" t="str">
        <f t="shared" si="507"/>
        <v/>
      </c>
      <c r="BO89" s="249" t="str">
        <f t="shared" si="508"/>
        <v/>
      </c>
      <c r="BP89" s="249" t="str">
        <f t="shared" si="518"/>
        <v/>
      </c>
      <c r="BQ89" s="252" t="str">
        <f t="shared" si="509"/>
        <v/>
      </c>
      <c r="BR89" s="248">
        <f t="shared" si="519"/>
        <v>0</v>
      </c>
      <c r="BS89" s="248">
        <f t="shared" si="520"/>
        <v>0</v>
      </c>
      <c r="BT89" s="248">
        <f t="shared" si="521"/>
        <v>0</v>
      </c>
      <c r="BU89" s="249" t="str">
        <f t="shared" si="527"/>
        <v/>
      </c>
      <c r="BV89" s="250">
        <f t="shared" si="522"/>
        <v>0</v>
      </c>
      <c r="BW89" s="243" t="str">
        <f t="shared" si="523"/>
        <v/>
      </c>
      <c r="BX89" s="243" t="str">
        <f>IF(OR(BU89="",BU89=0),"",IF(BW89&gt;'Quadro 1'!$G$23,'Quadro 1'!$G$23,IF(BW89&lt;'Quadro 1'!$G$10,'Quadro 1'!$G$10,MIN(BY89:BZ89))))</f>
        <v/>
      </c>
      <c r="BY89" s="243" t="str">
        <f>IF($BW89&lt;='Quadro 1'!$G$10,'Quadro 1'!$G$10,IF($BW89&lt;='Quadro 1'!$G$11,'Quadro 1'!$G$11,IF($BW89&lt;='Quadro 1'!$G$12,'Quadro 1'!$G$12,IF($BW89&lt;='Quadro 1'!$G$13,'Quadro 1'!$G$13,IF($BW89&lt;='Quadro 1'!$G$14,'Quadro 1'!$G$14,IF($BW89&lt;='Quadro 1'!$G$15,'Quadro 1'!$G$15,IF($BW89&lt;='Quadro 1'!$G$16,'Quadro 1'!$G$16,"")))))))</f>
        <v/>
      </c>
      <c r="BZ89" s="243" t="str">
        <f>IF(OR(BU89="",BU89=0),"",IF($BW89&lt;='Quadro 1'!$G$17,'Quadro 1'!$G$17,IF($BW89&lt;='Quadro 1'!$G$18,'Quadro 1'!$G$18,IF($BW89&lt;='Quadro 1'!$G$19,'Quadro 1'!$G$19,IF($BW89&lt;='Quadro 1'!$G$20,'Quadro 1'!$G$20,IF($BW89&lt;='Quadro 1'!$G$21,'Quadro 1'!$G$21,IF($BW89&lt;='Quadro 1'!$G$22,'Quadro 1'!$G$22,IF($BW89&lt;='Quadro 1'!$G$23,'Quadro 1'!$G$23,'Quadro 1'!$G$23))))))))</f>
        <v/>
      </c>
      <c r="EB89" s="33"/>
      <c r="EC89" s="33"/>
      <c r="ED89" s="33"/>
      <c r="EF89" s="33"/>
      <c r="EG89" s="33"/>
      <c r="EH89" s="33"/>
      <c r="EI89" s="33"/>
      <c r="EJ89" s="33"/>
      <c r="EK89" s="33"/>
      <c r="EL89" s="33"/>
      <c r="EM89" s="33"/>
      <c r="EO89" s="33"/>
      <c r="EP89" s="33"/>
      <c r="EQ89" s="33"/>
      <c r="EW89" s="33">
        <v>7</v>
      </c>
      <c r="EY89" s="770" t="str">
        <f t="shared" si="448"/>
        <v/>
      </c>
      <c r="EZ89" s="794" t="str">
        <f t="shared" si="449"/>
        <v/>
      </c>
      <c r="FA89" s="7" t="str">
        <f t="shared" si="447"/>
        <v/>
      </c>
      <c r="FB89" s="7" t="str" cm="1">
        <f t="array" ref="FB89">IF(FA89="","",INDEX($FB$54:$FB$78,FA89))</f>
        <v/>
      </c>
      <c r="FC89" s="121" t="str">
        <f t="shared" si="450"/>
        <v/>
      </c>
      <c r="FD89" s="115" t="str">
        <f t="shared" si="451"/>
        <v/>
      </c>
      <c r="FE89" s="92">
        <f t="shared" si="452"/>
        <v>0</v>
      </c>
      <c r="FF89" s="711">
        <f t="shared" si="453"/>
        <v>0</v>
      </c>
      <c r="FG89" s="702">
        <f t="shared" si="453"/>
        <v>0</v>
      </c>
      <c r="FH89" s="19">
        <f t="shared" si="478"/>
        <v>0</v>
      </c>
      <c r="FI89" s="718"/>
      <c r="FJ89" s="701" t="str">
        <f t="shared" si="479"/>
        <v/>
      </c>
      <c r="FK89" s="66">
        <f t="shared" si="454"/>
        <v>0</v>
      </c>
      <c r="FL89" s="715"/>
      <c r="FM89" s="716"/>
      <c r="FN89" s="701" t="str">
        <f t="shared" si="480"/>
        <v/>
      </c>
      <c r="FO89" s="66">
        <f t="shared" si="455"/>
        <v>0</v>
      </c>
      <c r="FP89" s="715"/>
      <c r="FQ89" s="716"/>
      <c r="FR89" s="701" t="str">
        <f t="shared" si="481"/>
        <v/>
      </c>
      <c r="FS89" s="66">
        <f t="shared" si="456"/>
        <v>0</v>
      </c>
      <c r="FT89" s="715"/>
      <c r="FU89" s="716"/>
      <c r="FV89" s="701" t="str">
        <f t="shared" si="482"/>
        <v/>
      </c>
      <c r="FW89" s="66">
        <f t="shared" si="457"/>
        <v>0</v>
      </c>
      <c r="FX89" s="715"/>
      <c r="FY89" s="716"/>
      <c r="FZ89" s="701" t="str">
        <f t="shared" si="483"/>
        <v/>
      </c>
      <c r="GA89" s="66">
        <f t="shared" si="458"/>
        <v>0</v>
      </c>
      <c r="GB89" s="715"/>
      <c r="GC89" s="716"/>
      <c r="GD89" s="701" t="str">
        <f t="shared" si="484"/>
        <v/>
      </c>
      <c r="GE89" s="66">
        <f t="shared" si="459"/>
        <v>0</v>
      </c>
      <c r="GF89" s="715"/>
      <c r="GG89" s="716"/>
      <c r="GH89" s="701" t="str">
        <f t="shared" si="485"/>
        <v/>
      </c>
      <c r="GI89" s="66">
        <f t="shared" si="460"/>
        <v>0</v>
      </c>
      <c r="GJ89" s="715"/>
      <c r="GK89" s="716"/>
      <c r="GL89" s="701" t="str">
        <f t="shared" si="486"/>
        <v/>
      </c>
      <c r="GM89" s="66">
        <f t="shared" si="461"/>
        <v>0</v>
      </c>
      <c r="GN89" s="715"/>
      <c r="GO89" s="716"/>
      <c r="GP89" s="701" t="str">
        <f t="shared" si="487"/>
        <v/>
      </c>
      <c r="GQ89" s="66">
        <f t="shared" si="462"/>
        <v>0</v>
      </c>
      <c r="GR89" s="715"/>
      <c r="GS89" s="716"/>
      <c r="GT89" s="701" t="str">
        <f t="shared" si="488"/>
        <v/>
      </c>
      <c r="GU89" s="66">
        <f t="shared" si="463"/>
        <v>0</v>
      </c>
      <c r="GV89" s="715"/>
      <c r="GW89" s="716"/>
      <c r="GX89" s="701" t="str">
        <f t="shared" si="489"/>
        <v/>
      </c>
      <c r="GY89" s="66">
        <f t="shared" si="464"/>
        <v>0</v>
      </c>
      <c r="GZ89" s="715"/>
      <c r="HA89" s="716"/>
      <c r="HB89" s="701" t="str">
        <f t="shared" si="490"/>
        <v/>
      </c>
      <c r="HC89" s="66">
        <f t="shared" si="465"/>
        <v>0</v>
      </c>
      <c r="HD89" s="715"/>
      <c r="HE89" s="716"/>
      <c r="HF89" s="701" t="str">
        <f t="shared" si="491"/>
        <v/>
      </c>
      <c r="HG89" s="66">
        <f t="shared" si="466"/>
        <v>0</v>
      </c>
      <c r="HH89" s="715"/>
      <c r="HI89" s="716"/>
      <c r="HJ89" s="701" t="str">
        <f t="shared" si="492"/>
        <v/>
      </c>
      <c r="HK89" s="66">
        <f t="shared" si="467"/>
        <v>0</v>
      </c>
      <c r="HL89" s="715"/>
      <c r="HM89" s="716"/>
      <c r="HN89" s="701" t="str">
        <f t="shared" si="493"/>
        <v/>
      </c>
      <c r="HO89" s="66">
        <f t="shared" si="468"/>
        <v>0</v>
      </c>
      <c r="HP89" s="715"/>
      <c r="HQ89" s="716"/>
      <c r="HR89" s="701" t="str">
        <f t="shared" si="494"/>
        <v/>
      </c>
      <c r="HS89" s="66">
        <f t="shared" si="469"/>
        <v>0</v>
      </c>
      <c r="HT89" s="715"/>
      <c r="HU89" s="716"/>
      <c r="HV89" s="701" t="str">
        <f t="shared" si="495"/>
        <v/>
      </c>
      <c r="HW89" s="66">
        <f t="shared" si="470"/>
        <v>0</v>
      </c>
      <c r="HX89" s="715"/>
      <c r="HY89" s="716"/>
      <c r="HZ89" s="701" t="str">
        <f t="shared" si="496"/>
        <v/>
      </c>
      <c r="IA89" s="66">
        <f t="shared" si="471"/>
        <v>0</v>
      </c>
      <c r="IB89" s="715"/>
      <c r="IC89" s="716"/>
      <c r="ID89" s="701" t="str">
        <f t="shared" si="497"/>
        <v/>
      </c>
      <c r="IE89" s="66">
        <f t="shared" si="472"/>
        <v>0</v>
      </c>
      <c r="IF89" s="715"/>
      <c r="IG89" s="716"/>
      <c r="IH89" s="701" t="str">
        <f t="shared" si="498"/>
        <v/>
      </c>
      <c r="II89" s="66">
        <f t="shared" si="473"/>
        <v>0</v>
      </c>
      <c r="IJ89" s="715"/>
      <c r="IK89" s="716"/>
      <c r="IL89" s="701" t="str">
        <f t="shared" si="499"/>
        <v/>
      </c>
      <c r="IM89" s="66">
        <f t="shared" si="474"/>
        <v>0</v>
      </c>
      <c r="IN89" s="715"/>
      <c r="IO89" s="716"/>
      <c r="IP89" s="701" t="str">
        <f t="shared" si="500"/>
        <v/>
      </c>
      <c r="IQ89" s="66">
        <f t="shared" si="475"/>
        <v>0</v>
      </c>
      <c r="IR89" s="715"/>
      <c r="IS89" s="716"/>
      <c r="IT89" s="701" t="str">
        <f t="shared" si="501"/>
        <v/>
      </c>
      <c r="IU89" s="66">
        <f t="shared" si="476"/>
        <v>0</v>
      </c>
      <c r="IV89" s="715"/>
      <c r="IW89" s="716"/>
      <c r="IX89" s="701" t="str">
        <f t="shared" si="502"/>
        <v/>
      </c>
      <c r="IY89" s="66">
        <f t="shared" si="477"/>
        <v>0</v>
      </c>
    </row>
    <row r="90" spans="46:259" ht="13.3" thickTop="1" thickBot="1" x14ac:dyDescent="0.35">
      <c r="AT90" s="756" t="str">
        <f>IF($EW$23="","",LOOKUP($EW$23,$EU$25:$EU$49,DY$25:DY$49))</f>
        <v/>
      </c>
      <c r="AU90" s="172" t="str">
        <f>IF($N$21+5&lt;=$AU$84,$N$21+5,"")</f>
        <v/>
      </c>
      <c r="AV90" s="251" t="str">
        <f t="shared" si="524"/>
        <v/>
      </c>
      <c r="AW90" s="247" t="str">
        <f t="shared" si="510"/>
        <v/>
      </c>
      <c r="AY90" s="172" t="str">
        <f t="shared" si="528"/>
        <v/>
      </c>
      <c r="AZ90" s="678" t="str">
        <f t="shared" si="511"/>
        <v/>
      </c>
      <c r="BA90" s="809" t="str">
        <f t="shared" si="512"/>
        <v/>
      </c>
      <c r="BB90" s="1378">
        <v>6</v>
      </c>
      <c r="BC90" s="809" t="str">
        <f t="shared" si="513"/>
        <v/>
      </c>
      <c r="BD90" s="1376" t="str">
        <f t="shared" si="514"/>
        <v/>
      </c>
      <c r="BE90" s="1370" t="str">
        <f t="shared" si="503"/>
        <v/>
      </c>
      <c r="BF90" s="1369" t="str">
        <f t="shared" si="525"/>
        <v/>
      </c>
      <c r="BG90" s="1379" t="str">
        <f t="shared" si="515"/>
        <v/>
      </c>
      <c r="BH90" s="216" t="str">
        <f t="shared" si="526"/>
        <v/>
      </c>
      <c r="BI90" s="88">
        <f t="shared" si="516"/>
        <v>0</v>
      </c>
      <c r="BJ90" s="244">
        <f t="shared" si="517"/>
        <v>0</v>
      </c>
      <c r="BK90" s="245" t="str">
        <f t="shared" si="504"/>
        <v/>
      </c>
      <c r="BL90" s="246" t="str">
        <f t="shared" si="505"/>
        <v/>
      </c>
      <c r="BM90" s="247" t="str">
        <f t="shared" si="506"/>
        <v/>
      </c>
      <c r="BN90" s="249" t="str">
        <f t="shared" si="507"/>
        <v/>
      </c>
      <c r="BO90" s="249" t="str">
        <f t="shared" si="508"/>
        <v/>
      </c>
      <c r="BP90" s="249" t="str">
        <f t="shared" si="518"/>
        <v/>
      </c>
      <c r="BQ90" s="252" t="str">
        <f t="shared" si="509"/>
        <v/>
      </c>
      <c r="BR90" s="248">
        <f t="shared" si="519"/>
        <v>0</v>
      </c>
      <c r="BS90" s="248">
        <f t="shared" si="520"/>
        <v>0</v>
      </c>
      <c r="BT90" s="248">
        <f t="shared" si="521"/>
        <v>0</v>
      </c>
      <c r="BU90" s="249" t="str">
        <f t="shared" si="527"/>
        <v/>
      </c>
      <c r="BV90" s="250">
        <f t="shared" si="522"/>
        <v>0</v>
      </c>
      <c r="BW90" s="243" t="str">
        <f t="shared" si="523"/>
        <v/>
      </c>
      <c r="BX90" s="243" t="str">
        <f>IF(OR(BU90="",BU90=0),"",IF(BW90&gt;'Quadro 1'!$G$23,'Quadro 1'!$G$23,IF(BW90&lt;'Quadro 1'!$G$10,'Quadro 1'!$G$10,MIN(BY90:BZ90))))</f>
        <v/>
      </c>
      <c r="BY90" s="243" t="str">
        <f>IF($BW90&lt;='Quadro 1'!$G$10,'Quadro 1'!$G$10,IF($BW90&lt;='Quadro 1'!$G$11,'Quadro 1'!$G$11,IF($BW90&lt;='Quadro 1'!$G$12,'Quadro 1'!$G$12,IF($BW90&lt;='Quadro 1'!$G$13,'Quadro 1'!$G$13,IF($BW90&lt;='Quadro 1'!$G$14,'Quadro 1'!$G$14,IF($BW90&lt;='Quadro 1'!$G$15,'Quadro 1'!$G$15,IF($BW90&lt;='Quadro 1'!$G$16,'Quadro 1'!$G$16,"")))))))</f>
        <v/>
      </c>
      <c r="BZ90" s="243" t="str">
        <f>IF(OR(BU90="",BU90=0),"",IF($BW90&lt;='Quadro 1'!$G$17,'Quadro 1'!$G$17,IF($BW90&lt;='Quadro 1'!$G$18,'Quadro 1'!$G$18,IF($BW90&lt;='Quadro 1'!$G$19,'Quadro 1'!$G$19,IF($BW90&lt;='Quadro 1'!$G$20,'Quadro 1'!$G$20,IF($BW90&lt;='Quadro 1'!$G$21,'Quadro 1'!$G$21,IF($BW90&lt;='Quadro 1'!$G$22,'Quadro 1'!$G$22,IF($BW90&lt;='Quadro 1'!$G$23,'Quadro 1'!$G$23,'Quadro 1'!$G$23))))))))</f>
        <v/>
      </c>
      <c r="EB90" s="33"/>
      <c r="EC90" s="33"/>
      <c r="ED90" s="33"/>
      <c r="EF90" s="33"/>
      <c r="EG90" s="33"/>
      <c r="EH90" s="33"/>
      <c r="EI90" s="33"/>
      <c r="EJ90" s="33"/>
      <c r="EK90" s="33"/>
      <c r="EL90" s="33"/>
      <c r="EM90" s="33"/>
      <c r="EO90" s="33"/>
      <c r="EP90" s="33"/>
      <c r="EQ90" s="33"/>
      <c r="ET90" s="33"/>
      <c r="EU90" s="33"/>
      <c r="EV90" s="33"/>
      <c r="EW90" s="33">
        <v>8</v>
      </c>
      <c r="EY90" s="33"/>
      <c r="FC90" s="121" t="str">
        <f t="shared" si="450"/>
        <v/>
      </c>
      <c r="FD90" s="115" t="str">
        <f t="shared" si="451"/>
        <v/>
      </c>
      <c r="FE90" s="92">
        <f t="shared" si="452"/>
        <v>0</v>
      </c>
      <c r="FF90" s="711">
        <f t="shared" si="453"/>
        <v>0</v>
      </c>
      <c r="FG90" s="702">
        <f t="shared" si="453"/>
        <v>0</v>
      </c>
      <c r="FH90" s="19">
        <f t="shared" si="478"/>
        <v>0</v>
      </c>
      <c r="FI90" s="718"/>
      <c r="FJ90" s="701" t="str">
        <f t="shared" si="479"/>
        <v/>
      </c>
      <c r="FK90" s="66">
        <f t="shared" si="454"/>
        <v>0</v>
      </c>
      <c r="FL90" s="715"/>
      <c r="FM90" s="716"/>
      <c r="FN90" s="701" t="str">
        <f t="shared" si="480"/>
        <v/>
      </c>
      <c r="FO90" s="66">
        <f t="shared" si="455"/>
        <v>0</v>
      </c>
      <c r="FP90" s="715"/>
      <c r="FQ90" s="716"/>
      <c r="FR90" s="701" t="str">
        <f t="shared" si="481"/>
        <v/>
      </c>
      <c r="FS90" s="66">
        <f t="shared" si="456"/>
        <v>0</v>
      </c>
      <c r="FT90" s="715"/>
      <c r="FU90" s="716"/>
      <c r="FV90" s="701" t="str">
        <f t="shared" si="482"/>
        <v/>
      </c>
      <c r="FW90" s="66">
        <f t="shared" si="457"/>
        <v>0</v>
      </c>
      <c r="FX90" s="715"/>
      <c r="FY90" s="716"/>
      <c r="FZ90" s="701" t="str">
        <f t="shared" si="483"/>
        <v/>
      </c>
      <c r="GA90" s="66">
        <f t="shared" si="458"/>
        <v>0</v>
      </c>
      <c r="GB90" s="715"/>
      <c r="GC90" s="716"/>
      <c r="GD90" s="701" t="str">
        <f t="shared" si="484"/>
        <v/>
      </c>
      <c r="GE90" s="66">
        <f t="shared" si="459"/>
        <v>0</v>
      </c>
      <c r="GF90" s="715"/>
      <c r="GG90" s="716"/>
      <c r="GH90" s="701" t="str">
        <f t="shared" si="485"/>
        <v/>
      </c>
      <c r="GI90" s="66">
        <f t="shared" si="460"/>
        <v>0</v>
      </c>
      <c r="GJ90" s="715"/>
      <c r="GK90" s="716"/>
      <c r="GL90" s="701" t="str">
        <f t="shared" si="486"/>
        <v/>
      </c>
      <c r="GM90" s="66">
        <f t="shared" si="461"/>
        <v>0</v>
      </c>
      <c r="GN90" s="715"/>
      <c r="GO90" s="716"/>
      <c r="GP90" s="701" t="str">
        <f t="shared" si="487"/>
        <v/>
      </c>
      <c r="GQ90" s="66">
        <f t="shared" si="462"/>
        <v>0</v>
      </c>
      <c r="GR90" s="715"/>
      <c r="GS90" s="716"/>
      <c r="GT90" s="701" t="str">
        <f t="shared" si="488"/>
        <v/>
      </c>
      <c r="GU90" s="66">
        <f t="shared" si="463"/>
        <v>0</v>
      </c>
      <c r="GV90" s="715"/>
      <c r="GW90" s="716"/>
      <c r="GX90" s="701" t="str">
        <f t="shared" si="489"/>
        <v/>
      </c>
      <c r="GY90" s="66">
        <f t="shared" si="464"/>
        <v>0</v>
      </c>
      <c r="GZ90" s="715"/>
      <c r="HA90" s="716"/>
      <c r="HB90" s="701" t="str">
        <f t="shared" si="490"/>
        <v/>
      </c>
      <c r="HC90" s="66">
        <f t="shared" si="465"/>
        <v>0</v>
      </c>
      <c r="HD90" s="715"/>
      <c r="HE90" s="716"/>
      <c r="HF90" s="701" t="str">
        <f t="shared" si="491"/>
        <v/>
      </c>
      <c r="HG90" s="66">
        <f t="shared" si="466"/>
        <v>0</v>
      </c>
      <c r="HH90" s="715"/>
      <c r="HI90" s="716"/>
      <c r="HJ90" s="701" t="str">
        <f t="shared" si="492"/>
        <v/>
      </c>
      <c r="HK90" s="66">
        <f t="shared" si="467"/>
        <v>0</v>
      </c>
      <c r="HL90" s="715"/>
      <c r="HM90" s="716"/>
      <c r="HN90" s="701" t="str">
        <f t="shared" si="493"/>
        <v/>
      </c>
      <c r="HO90" s="66">
        <f t="shared" si="468"/>
        <v>0</v>
      </c>
      <c r="HP90" s="715"/>
      <c r="HQ90" s="716"/>
      <c r="HR90" s="701" t="str">
        <f t="shared" si="494"/>
        <v/>
      </c>
      <c r="HS90" s="66">
        <f t="shared" si="469"/>
        <v>0</v>
      </c>
      <c r="HT90" s="715"/>
      <c r="HU90" s="716"/>
      <c r="HV90" s="701" t="str">
        <f t="shared" si="495"/>
        <v/>
      </c>
      <c r="HW90" s="66">
        <f t="shared" si="470"/>
        <v>0</v>
      </c>
      <c r="HX90" s="715"/>
      <c r="HY90" s="716"/>
      <c r="HZ90" s="701" t="str">
        <f t="shared" si="496"/>
        <v/>
      </c>
      <c r="IA90" s="66">
        <f t="shared" si="471"/>
        <v>0</v>
      </c>
      <c r="IB90" s="715"/>
      <c r="IC90" s="716"/>
      <c r="ID90" s="701" t="str">
        <f t="shared" si="497"/>
        <v/>
      </c>
      <c r="IE90" s="66">
        <f t="shared" si="472"/>
        <v>0</v>
      </c>
      <c r="IF90" s="715"/>
      <c r="IG90" s="716"/>
      <c r="IH90" s="701" t="str">
        <f t="shared" si="498"/>
        <v/>
      </c>
      <c r="II90" s="66">
        <f t="shared" si="473"/>
        <v>0</v>
      </c>
      <c r="IJ90" s="715"/>
      <c r="IK90" s="716"/>
      <c r="IL90" s="701" t="str">
        <f t="shared" si="499"/>
        <v/>
      </c>
      <c r="IM90" s="66">
        <f t="shared" si="474"/>
        <v>0</v>
      </c>
      <c r="IN90" s="715"/>
      <c r="IO90" s="716"/>
      <c r="IP90" s="701" t="str">
        <f t="shared" si="500"/>
        <v/>
      </c>
      <c r="IQ90" s="66">
        <f t="shared" si="475"/>
        <v>0</v>
      </c>
      <c r="IR90" s="715"/>
      <c r="IS90" s="716"/>
      <c r="IT90" s="701" t="str">
        <f t="shared" si="501"/>
        <v/>
      </c>
      <c r="IU90" s="66">
        <f t="shared" si="476"/>
        <v>0</v>
      </c>
      <c r="IV90" s="715"/>
      <c r="IW90" s="716"/>
      <c r="IX90" s="701" t="str">
        <f t="shared" si="502"/>
        <v/>
      </c>
      <c r="IY90" s="66">
        <f t="shared" si="477"/>
        <v>0</v>
      </c>
    </row>
    <row r="91" spans="46:259" ht="13.3" thickTop="1" thickBot="1" x14ac:dyDescent="0.35">
      <c r="AT91" s="756" t="str">
        <f>IF($EW$23="","",LOOKUP($EW$23,$EU$25:$EU$49,DZ$25:DZ$49))</f>
        <v/>
      </c>
      <c r="AU91" s="172" t="str">
        <f>IF($N$21+6&lt;=$AU$84,$N$21+6,"")</f>
        <v/>
      </c>
      <c r="AV91" s="251" t="str">
        <f t="shared" si="524"/>
        <v/>
      </c>
      <c r="AW91" s="247" t="str">
        <f t="shared" si="510"/>
        <v/>
      </c>
      <c r="AY91" s="172" t="str">
        <f t="shared" si="528"/>
        <v/>
      </c>
      <c r="AZ91" s="678" t="str">
        <f t="shared" si="511"/>
        <v/>
      </c>
      <c r="BA91" s="809" t="str">
        <f t="shared" si="512"/>
        <v/>
      </c>
      <c r="BB91" s="1378">
        <v>7</v>
      </c>
      <c r="BC91" s="809" t="str">
        <f t="shared" si="513"/>
        <v/>
      </c>
      <c r="BD91" s="1376" t="str">
        <f t="shared" si="514"/>
        <v/>
      </c>
      <c r="BE91" s="1370" t="str">
        <f t="shared" ref="BE91:BE93" si="529">IF(BD91="","",LOOKUP(BD91,$BB$85:$BB$93,$AZ$85:$AZ$93))</f>
        <v/>
      </c>
      <c r="BF91" s="1369" t="str">
        <f t="shared" si="525"/>
        <v/>
      </c>
      <c r="BG91" s="1379" t="str">
        <f t="shared" si="515"/>
        <v/>
      </c>
      <c r="BH91" s="216" t="str">
        <f t="shared" si="526"/>
        <v/>
      </c>
      <c r="BI91" s="88">
        <f t="shared" si="516"/>
        <v>0</v>
      </c>
      <c r="BJ91" s="244">
        <f t="shared" si="517"/>
        <v>0</v>
      </c>
      <c r="BK91" s="245" t="str">
        <f t="shared" si="504"/>
        <v/>
      </c>
      <c r="BL91" s="246" t="str">
        <f t="shared" si="505"/>
        <v/>
      </c>
      <c r="BM91" s="247" t="str">
        <f t="shared" si="506"/>
        <v/>
      </c>
      <c r="BN91" s="249" t="str">
        <f t="shared" si="507"/>
        <v/>
      </c>
      <c r="BO91" s="249" t="str">
        <f t="shared" si="508"/>
        <v/>
      </c>
      <c r="BP91" s="249" t="str">
        <f t="shared" si="518"/>
        <v/>
      </c>
      <c r="BQ91" s="252" t="str">
        <f t="shared" si="509"/>
        <v/>
      </c>
      <c r="BR91" s="248">
        <f t="shared" si="519"/>
        <v>0</v>
      </c>
      <c r="BS91" s="248">
        <f t="shared" si="520"/>
        <v>0</v>
      </c>
      <c r="BT91" s="248">
        <f t="shared" si="521"/>
        <v>0</v>
      </c>
      <c r="BU91" s="249" t="str">
        <f t="shared" si="527"/>
        <v/>
      </c>
      <c r="BV91" s="250">
        <f t="shared" si="522"/>
        <v>0</v>
      </c>
      <c r="BW91" s="243" t="str">
        <f t="shared" si="523"/>
        <v/>
      </c>
      <c r="BX91" s="243" t="str">
        <f>IF(OR(BU91="",BU91=0),"",IF(BW91&gt;'Quadro 1'!$G$23,'Quadro 1'!$G$23,IF(BW91&lt;'Quadro 1'!$G$10,'Quadro 1'!$G$10,MIN(BY91:BZ91))))</f>
        <v/>
      </c>
      <c r="BY91" s="243" t="str">
        <f>IF($BW91&lt;='Quadro 1'!$G$10,'Quadro 1'!$G$10,IF($BW91&lt;='Quadro 1'!$G$11,'Quadro 1'!$G$11,IF($BW91&lt;='Quadro 1'!$G$12,'Quadro 1'!$G$12,IF($BW91&lt;='Quadro 1'!$G$13,'Quadro 1'!$G$13,IF($BW91&lt;='Quadro 1'!$G$14,'Quadro 1'!$G$14,IF($BW91&lt;='Quadro 1'!$G$15,'Quadro 1'!$G$15,IF($BW91&lt;='Quadro 1'!$G$16,'Quadro 1'!$G$16,"")))))))</f>
        <v/>
      </c>
      <c r="BZ91" s="243" t="str">
        <f>IF(OR(BU91="",BU91=0),"",IF($BW91&lt;='Quadro 1'!$G$17,'Quadro 1'!$G$17,IF($BW91&lt;='Quadro 1'!$G$18,'Quadro 1'!$G$18,IF($BW91&lt;='Quadro 1'!$G$19,'Quadro 1'!$G$19,IF($BW91&lt;='Quadro 1'!$G$20,'Quadro 1'!$G$20,IF($BW91&lt;='Quadro 1'!$G$21,'Quadro 1'!$G$21,IF($BW91&lt;='Quadro 1'!$G$22,'Quadro 1'!$G$22,IF($BW91&lt;='Quadro 1'!$G$23,'Quadro 1'!$G$23,'Quadro 1'!$G$23))))))))</f>
        <v/>
      </c>
      <c r="EB91" s="33"/>
      <c r="EC91" s="33"/>
      <c r="ED91" s="33"/>
      <c r="EF91" s="33"/>
      <c r="EG91" s="33"/>
      <c r="EH91" s="33"/>
      <c r="EI91" s="33"/>
      <c r="EJ91" s="33"/>
      <c r="EK91" s="33"/>
      <c r="EL91" s="33"/>
      <c r="EM91" s="33"/>
      <c r="EO91" s="33"/>
      <c r="EP91" s="33"/>
      <c r="EQ91" s="33"/>
      <c r="ET91" s="33"/>
      <c r="EU91" s="33"/>
      <c r="EV91" s="33"/>
      <c r="EW91" s="33">
        <v>9</v>
      </c>
      <c r="EY91" s="33"/>
      <c r="FC91" s="121" t="str">
        <f t="shared" si="450"/>
        <v/>
      </c>
      <c r="FD91" s="115" t="str">
        <f t="shared" si="451"/>
        <v/>
      </c>
      <c r="FE91" s="92">
        <f t="shared" si="452"/>
        <v>0</v>
      </c>
      <c r="FF91" s="711">
        <f t="shared" si="453"/>
        <v>0</v>
      </c>
      <c r="FG91" s="702">
        <f t="shared" si="453"/>
        <v>0</v>
      </c>
      <c r="FH91" s="19">
        <f t="shared" si="478"/>
        <v>0</v>
      </c>
      <c r="FI91" s="718"/>
      <c r="FJ91" s="701" t="str">
        <f t="shared" si="479"/>
        <v/>
      </c>
      <c r="FK91" s="66">
        <f t="shared" si="454"/>
        <v>0</v>
      </c>
      <c r="FL91" s="715"/>
      <c r="FM91" s="716"/>
      <c r="FN91" s="701" t="str">
        <f t="shared" si="480"/>
        <v/>
      </c>
      <c r="FO91" s="66">
        <f t="shared" si="455"/>
        <v>0</v>
      </c>
      <c r="FP91" s="715"/>
      <c r="FQ91" s="716"/>
      <c r="FR91" s="701" t="str">
        <f t="shared" si="481"/>
        <v/>
      </c>
      <c r="FS91" s="66">
        <f t="shared" si="456"/>
        <v>0</v>
      </c>
      <c r="FT91" s="715"/>
      <c r="FU91" s="716"/>
      <c r="FV91" s="701" t="str">
        <f t="shared" si="482"/>
        <v/>
      </c>
      <c r="FW91" s="66">
        <f t="shared" si="457"/>
        <v>0</v>
      </c>
      <c r="FX91" s="715"/>
      <c r="FY91" s="716"/>
      <c r="FZ91" s="701" t="str">
        <f t="shared" si="483"/>
        <v/>
      </c>
      <c r="GA91" s="66">
        <f t="shared" si="458"/>
        <v>0</v>
      </c>
      <c r="GB91" s="715"/>
      <c r="GC91" s="716"/>
      <c r="GD91" s="701" t="str">
        <f t="shared" si="484"/>
        <v/>
      </c>
      <c r="GE91" s="66">
        <f t="shared" si="459"/>
        <v>0</v>
      </c>
      <c r="GF91" s="715"/>
      <c r="GG91" s="716"/>
      <c r="GH91" s="701" t="str">
        <f t="shared" si="485"/>
        <v/>
      </c>
      <c r="GI91" s="66">
        <f t="shared" si="460"/>
        <v>0</v>
      </c>
      <c r="GJ91" s="715"/>
      <c r="GK91" s="716"/>
      <c r="GL91" s="701" t="str">
        <f t="shared" si="486"/>
        <v/>
      </c>
      <c r="GM91" s="66">
        <f t="shared" si="461"/>
        <v>0</v>
      </c>
      <c r="GN91" s="715"/>
      <c r="GO91" s="716"/>
      <c r="GP91" s="701" t="str">
        <f t="shared" si="487"/>
        <v/>
      </c>
      <c r="GQ91" s="66">
        <f t="shared" si="462"/>
        <v>0</v>
      </c>
      <c r="GR91" s="715"/>
      <c r="GS91" s="716"/>
      <c r="GT91" s="701" t="str">
        <f t="shared" si="488"/>
        <v/>
      </c>
      <c r="GU91" s="66">
        <f t="shared" si="463"/>
        <v>0</v>
      </c>
      <c r="GV91" s="715"/>
      <c r="GW91" s="716"/>
      <c r="GX91" s="701" t="str">
        <f t="shared" si="489"/>
        <v/>
      </c>
      <c r="GY91" s="66">
        <f t="shared" si="464"/>
        <v>0</v>
      </c>
      <c r="GZ91" s="715"/>
      <c r="HA91" s="716"/>
      <c r="HB91" s="701" t="str">
        <f t="shared" si="490"/>
        <v/>
      </c>
      <c r="HC91" s="66">
        <f t="shared" si="465"/>
        <v>0</v>
      </c>
      <c r="HD91" s="715"/>
      <c r="HE91" s="716"/>
      <c r="HF91" s="701" t="str">
        <f t="shared" si="491"/>
        <v/>
      </c>
      <c r="HG91" s="66">
        <f t="shared" si="466"/>
        <v>0</v>
      </c>
      <c r="HH91" s="715"/>
      <c r="HI91" s="716"/>
      <c r="HJ91" s="701" t="str">
        <f t="shared" si="492"/>
        <v/>
      </c>
      <c r="HK91" s="66">
        <f t="shared" si="467"/>
        <v>0</v>
      </c>
      <c r="HL91" s="715"/>
      <c r="HM91" s="716"/>
      <c r="HN91" s="701" t="str">
        <f t="shared" si="493"/>
        <v/>
      </c>
      <c r="HO91" s="66">
        <f t="shared" si="468"/>
        <v>0</v>
      </c>
      <c r="HP91" s="715"/>
      <c r="HQ91" s="716"/>
      <c r="HR91" s="701" t="str">
        <f t="shared" si="494"/>
        <v/>
      </c>
      <c r="HS91" s="66">
        <f t="shared" si="469"/>
        <v>0</v>
      </c>
      <c r="HT91" s="715"/>
      <c r="HU91" s="716"/>
      <c r="HV91" s="701" t="str">
        <f t="shared" si="495"/>
        <v/>
      </c>
      <c r="HW91" s="66">
        <f t="shared" si="470"/>
        <v>0</v>
      </c>
      <c r="HX91" s="715"/>
      <c r="HY91" s="716"/>
      <c r="HZ91" s="701" t="str">
        <f t="shared" si="496"/>
        <v/>
      </c>
      <c r="IA91" s="66">
        <f t="shared" si="471"/>
        <v>0</v>
      </c>
      <c r="IB91" s="715"/>
      <c r="IC91" s="716"/>
      <c r="ID91" s="701" t="str">
        <f t="shared" si="497"/>
        <v/>
      </c>
      <c r="IE91" s="66">
        <f t="shared" si="472"/>
        <v>0</v>
      </c>
      <c r="IF91" s="715"/>
      <c r="IG91" s="716"/>
      <c r="IH91" s="701" t="str">
        <f t="shared" si="498"/>
        <v/>
      </c>
      <c r="II91" s="66">
        <f t="shared" si="473"/>
        <v>0</v>
      </c>
      <c r="IJ91" s="715"/>
      <c r="IK91" s="716"/>
      <c r="IL91" s="701" t="str">
        <f t="shared" si="499"/>
        <v/>
      </c>
      <c r="IM91" s="66">
        <f t="shared" si="474"/>
        <v>0</v>
      </c>
      <c r="IN91" s="715"/>
      <c r="IO91" s="716"/>
      <c r="IP91" s="701" t="str">
        <f t="shared" si="500"/>
        <v/>
      </c>
      <c r="IQ91" s="66">
        <f t="shared" si="475"/>
        <v>0</v>
      </c>
      <c r="IR91" s="715"/>
      <c r="IS91" s="716"/>
      <c r="IT91" s="701" t="str">
        <f t="shared" si="501"/>
        <v/>
      </c>
      <c r="IU91" s="66">
        <f t="shared" si="476"/>
        <v>0</v>
      </c>
      <c r="IV91" s="715"/>
      <c r="IW91" s="716"/>
      <c r="IX91" s="701" t="str">
        <f t="shared" si="502"/>
        <v/>
      </c>
      <c r="IY91" s="66">
        <f t="shared" si="477"/>
        <v>0</v>
      </c>
    </row>
    <row r="92" spans="46:259" ht="13.3" thickTop="1" thickBot="1" x14ac:dyDescent="0.35">
      <c r="AT92" s="756" t="str">
        <f>IF($EW$23="","",LOOKUP($EW$23,$EU$25:$EU$49,EA$25:EA$49))</f>
        <v/>
      </c>
      <c r="AU92" s="172" t="str">
        <f>IF($N$21+7&lt;=$AU$84,$N$21+7,"")</f>
        <v/>
      </c>
      <c r="AV92" s="251" t="str">
        <f t="shared" si="524"/>
        <v/>
      </c>
      <c r="AW92" s="247" t="str">
        <f t="shared" si="510"/>
        <v/>
      </c>
      <c r="AY92" s="172" t="str">
        <f t="shared" si="528"/>
        <v/>
      </c>
      <c r="AZ92" s="678" t="str">
        <f t="shared" si="511"/>
        <v/>
      </c>
      <c r="BA92" s="809" t="str">
        <f t="shared" si="512"/>
        <v/>
      </c>
      <c r="BB92" s="1378">
        <v>8</v>
      </c>
      <c r="BC92" s="809" t="str">
        <f t="shared" si="513"/>
        <v/>
      </c>
      <c r="BD92" s="1376" t="str">
        <f t="shared" si="514"/>
        <v/>
      </c>
      <c r="BE92" s="1370" t="str">
        <f t="shared" si="529"/>
        <v/>
      </c>
      <c r="BF92" s="1369" t="str">
        <f t="shared" si="525"/>
        <v/>
      </c>
      <c r="BG92" s="1379" t="str">
        <f t="shared" si="515"/>
        <v/>
      </c>
      <c r="BH92" s="216" t="str">
        <f t="shared" si="526"/>
        <v/>
      </c>
      <c r="BI92" s="88">
        <f t="shared" si="516"/>
        <v>0</v>
      </c>
      <c r="BJ92" s="244">
        <f t="shared" si="517"/>
        <v>0</v>
      </c>
      <c r="BK92" s="245" t="str">
        <f t="shared" si="504"/>
        <v/>
      </c>
      <c r="BL92" s="246" t="str">
        <f t="shared" si="505"/>
        <v/>
      </c>
      <c r="BM92" s="247" t="str">
        <f t="shared" si="506"/>
        <v/>
      </c>
      <c r="BN92" s="249" t="str">
        <f t="shared" si="507"/>
        <v/>
      </c>
      <c r="BO92" s="249" t="str">
        <f t="shared" si="508"/>
        <v/>
      </c>
      <c r="BP92" s="249" t="str">
        <f t="shared" si="518"/>
        <v/>
      </c>
      <c r="BQ92" s="252" t="str">
        <f t="shared" si="509"/>
        <v/>
      </c>
      <c r="BR92" s="248">
        <f t="shared" si="519"/>
        <v>0</v>
      </c>
      <c r="BS92" s="248">
        <f t="shared" si="520"/>
        <v>0</v>
      </c>
      <c r="BT92" s="248">
        <f t="shared" si="521"/>
        <v>0</v>
      </c>
      <c r="BU92" s="249" t="str">
        <f t="shared" si="527"/>
        <v/>
      </c>
      <c r="BV92" s="250">
        <f t="shared" si="522"/>
        <v>0</v>
      </c>
      <c r="BW92" s="243" t="str">
        <f t="shared" si="523"/>
        <v/>
      </c>
      <c r="BX92" s="243" t="str">
        <f>IF(OR(BU92="",BU92=0),"",IF(BW92&gt;'Quadro 1'!$G$23,'Quadro 1'!$G$23,IF(BW92&lt;'Quadro 1'!$G$10,'Quadro 1'!$G$10,MIN(BY92:BZ92))))</f>
        <v/>
      </c>
      <c r="BY92" s="243" t="str">
        <f>IF($BW92&lt;='Quadro 1'!$G$10,'Quadro 1'!$G$10,IF($BW92&lt;='Quadro 1'!$G$11,'Quadro 1'!$G$11,IF($BW92&lt;='Quadro 1'!$G$12,'Quadro 1'!$G$12,IF($BW92&lt;='Quadro 1'!$G$13,'Quadro 1'!$G$13,IF($BW92&lt;='Quadro 1'!$G$14,'Quadro 1'!$G$14,IF($BW92&lt;='Quadro 1'!$G$15,'Quadro 1'!$G$15,IF($BW92&lt;='Quadro 1'!$G$16,'Quadro 1'!$G$16,"")))))))</f>
        <v/>
      </c>
      <c r="BZ92" s="243" t="str">
        <f>IF(OR(BU92="",BU92=0),"",IF($BW92&lt;='Quadro 1'!$G$17,'Quadro 1'!$G$17,IF($BW92&lt;='Quadro 1'!$G$18,'Quadro 1'!$G$18,IF($BW92&lt;='Quadro 1'!$G$19,'Quadro 1'!$G$19,IF($BW92&lt;='Quadro 1'!$G$20,'Quadro 1'!$G$20,IF($BW92&lt;='Quadro 1'!$G$21,'Quadro 1'!$G$21,IF($BW92&lt;='Quadro 1'!$G$22,'Quadro 1'!$G$22,IF($BW92&lt;='Quadro 1'!$G$23,'Quadro 1'!$G$23,'Quadro 1'!$G$23))))))))</f>
        <v/>
      </c>
      <c r="EB92" s="33"/>
      <c r="EC92" s="33"/>
      <c r="ED92" s="33"/>
      <c r="EF92" s="33"/>
      <c r="EG92" s="33"/>
      <c r="EH92" s="33"/>
      <c r="EI92" s="33"/>
      <c r="EJ92" s="33"/>
      <c r="EK92" s="33"/>
      <c r="EL92" s="33"/>
      <c r="EM92" s="33"/>
      <c r="EO92" s="33"/>
      <c r="EP92" s="33"/>
      <c r="EQ92" s="33"/>
      <c r="ET92" s="33"/>
      <c r="EU92" s="33"/>
      <c r="EV92" s="33"/>
      <c r="EW92" s="33">
        <v>10</v>
      </c>
      <c r="EY92" s="33"/>
      <c r="FC92" s="121" t="str">
        <f t="shared" si="450"/>
        <v/>
      </c>
      <c r="FD92" s="115" t="str">
        <f t="shared" si="451"/>
        <v/>
      </c>
      <c r="FE92" s="92">
        <f t="shared" si="452"/>
        <v>0</v>
      </c>
      <c r="FF92" s="711">
        <f t="shared" si="453"/>
        <v>0</v>
      </c>
      <c r="FG92" s="702">
        <f t="shared" si="453"/>
        <v>0</v>
      </c>
      <c r="FH92" s="19">
        <f t="shared" si="478"/>
        <v>0</v>
      </c>
      <c r="FI92" s="718"/>
      <c r="FJ92" s="701" t="str">
        <f t="shared" si="479"/>
        <v/>
      </c>
      <c r="FK92" s="66">
        <f t="shared" si="454"/>
        <v>0</v>
      </c>
      <c r="FL92" s="715"/>
      <c r="FM92" s="716"/>
      <c r="FN92" s="701" t="str">
        <f t="shared" si="480"/>
        <v/>
      </c>
      <c r="FO92" s="66">
        <f t="shared" si="455"/>
        <v>0</v>
      </c>
      <c r="FP92" s="715"/>
      <c r="FQ92" s="716"/>
      <c r="FR92" s="701" t="str">
        <f t="shared" si="481"/>
        <v/>
      </c>
      <c r="FS92" s="66">
        <f t="shared" si="456"/>
        <v>0</v>
      </c>
      <c r="FT92" s="715"/>
      <c r="FU92" s="716"/>
      <c r="FV92" s="701" t="str">
        <f t="shared" si="482"/>
        <v/>
      </c>
      <c r="FW92" s="66">
        <f t="shared" si="457"/>
        <v>0</v>
      </c>
      <c r="FX92" s="715"/>
      <c r="FY92" s="716"/>
      <c r="FZ92" s="701" t="str">
        <f t="shared" si="483"/>
        <v/>
      </c>
      <c r="GA92" s="66">
        <f t="shared" si="458"/>
        <v>0</v>
      </c>
      <c r="GB92" s="715"/>
      <c r="GC92" s="716"/>
      <c r="GD92" s="701" t="str">
        <f t="shared" si="484"/>
        <v/>
      </c>
      <c r="GE92" s="66">
        <f t="shared" si="459"/>
        <v>0</v>
      </c>
      <c r="GF92" s="715"/>
      <c r="GG92" s="716"/>
      <c r="GH92" s="701" t="str">
        <f t="shared" si="485"/>
        <v/>
      </c>
      <c r="GI92" s="66">
        <f t="shared" si="460"/>
        <v>0</v>
      </c>
      <c r="GJ92" s="715"/>
      <c r="GK92" s="716"/>
      <c r="GL92" s="701" t="str">
        <f t="shared" si="486"/>
        <v/>
      </c>
      <c r="GM92" s="66">
        <f t="shared" si="461"/>
        <v>0</v>
      </c>
      <c r="GN92" s="715"/>
      <c r="GO92" s="716"/>
      <c r="GP92" s="701" t="str">
        <f t="shared" si="487"/>
        <v/>
      </c>
      <c r="GQ92" s="66">
        <f t="shared" si="462"/>
        <v>0</v>
      </c>
      <c r="GR92" s="715"/>
      <c r="GS92" s="716"/>
      <c r="GT92" s="701" t="str">
        <f t="shared" si="488"/>
        <v/>
      </c>
      <c r="GU92" s="66">
        <f t="shared" si="463"/>
        <v>0</v>
      </c>
      <c r="GV92" s="715"/>
      <c r="GW92" s="716"/>
      <c r="GX92" s="701" t="str">
        <f t="shared" si="489"/>
        <v/>
      </c>
      <c r="GY92" s="66">
        <f t="shared" si="464"/>
        <v>0</v>
      </c>
      <c r="GZ92" s="715"/>
      <c r="HA92" s="716"/>
      <c r="HB92" s="701" t="str">
        <f t="shared" si="490"/>
        <v/>
      </c>
      <c r="HC92" s="66">
        <f t="shared" si="465"/>
        <v>0</v>
      </c>
      <c r="HD92" s="715"/>
      <c r="HE92" s="716"/>
      <c r="HF92" s="701" t="str">
        <f t="shared" si="491"/>
        <v/>
      </c>
      <c r="HG92" s="66">
        <f t="shared" si="466"/>
        <v>0</v>
      </c>
      <c r="HH92" s="715"/>
      <c r="HI92" s="716"/>
      <c r="HJ92" s="701" t="str">
        <f t="shared" si="492"/>
        <v/>
      </c>
      <c r="HK92" s="66">
        <f t="shared" si="467"/>
        <v>0</v>
      </c>
      <c r="HL92" s="715"/>
      <c r="HM92" s="716"/>
      <c r="HN92" s="701" t="str">
        <f t="shared" si="493"/>
        <v/>
      </c>
      <c r="HO92" s="66">
        <f t="shared" si="468"/>
        <v>0</v>
      </c>
      <c r="HP92" s="715"/>
      <c r="HQ92" s="716"/>
      <c r="HR92" s="701" t="str">
        <f t="shared" si="494"/>
        <v/>
      </c>
      <c r="HS92" s="66">
        <f t="shared" si="469"/>
        <v>0</v>
      </c>
      <c r="HT92" s="715"/>
      <c r="HU92" s="716"/>
      <c r="HV92" s="701" t="str">
        <f t="shared" si="495"/>
        <v/>
      </c>
      <c r="HW92" s="66">
        <f t="shared" si="470"/>
        <v>0</v>
      </c>
      <c r="HX92" s="715"/>
      <c r="HY92" s="716"/>
      <c r="HZ92" s="701" t="str">
        <f t="shared" si="496"/>
        <v/>
      </c>
      <c r="IA92" s="66">
        <f t="shared" si="471"/>
        <v>0</v>
      </c>
      <c r="IB92" s="715"/>
      <c r="IC92" s="716"/>
      <c r="ID92" s="701" t="str">
        <f t="shared" si="497"/>
        <v/>
      </c>
      <c r="IE92" s="66">
        <f t="shared" si="472"/>
        <v>0</v>
      </c>
      <c r="IF92" s="715"/>
      <c r="IG92" s="716"/>
      <c r="IH92" s="701" t="str">
        <f t="shared" si="498"/>
        <v/>
      </c>
      <c r="II92" s="66">
        <f t="shared" si="473"/>
        <v>0</v>
      </c>
      <c r="IJ92" s="715"/>
      <c r="IK92" s="716"/>
      <c r="IL92" s="701" t="str">
        <f t="shared" si="499"/>
        <v/>
      </c>
      <c r="IM92" s="66">
        <f t="shared" si="474"/>
        <v>0</v>
      </c>
      <c r="IN92" s="715"/>
      <c r="IO92" s="716"/>
      <c r="IP92" s="701" t="str">
        <f t="shared" si="500"/>
        <v/>
      </c>
      <c r="IQ92" s="66">
        <f t="shared" si="475"/>
        <v>0</v>
      </c>
      <c r="IR92" s="715"/>
      <c r="IS92" s="716"/>
      <c r="IT92" s="701" t="str">
        <f t="shared" si="501"/>
        <v/>
      </c>
      <c r="IU92" s="66">
        <f t="shared" si="476"/>
        <v>0</v>
      </c>
      <c r="IV92" s="715"/>
      <c r="IW92" s="716"/>
      <c r="IX92" s="701" t="str">
        <f t="shared" si="502"/>
        <v/>
      </c>
      <c r="IY92" s="66">
        <f t="shared" si="477"/>
        <v>0</v>
      </c>
    </row>
    <row r="93" spans="46:259" ht="13.3" thickTop="1" thickBot="1" x14ac:dyDescent="0.35">
      <c r="AT93" s="756" t="str">
        <f>IF($EW$23="","",LOOKUP($EW$23,$EU$25:$EU$49,EB$25:EB$49))</f>
        <v/>
      </c>
      <c r="AU93" s="172" t="str">
        <f>IF($N$21+8&lt;=$AU$84,$N$21+8,"")</f>
        <v/>
      </c>
      <c r="AV93" s="251" t="str">
        <f t="shared" si="524"/>
        <v/>
      </c>
      <c r="AW93" s="247" t="str">
        <f t="shared" si="510"/>
        <v/>
      </c>
      <c r="AY93" s="172" t="str">
        <f t="shared" si="528"/>
        <v/>
      </c>
      <c r="AZ93" s="678" t="str">
        <f>IFERROR(IF(OR(AU93="",AW93=""),"",LARGE($AW$85:$AW$93,AU93)),"")</f>
        <v/>
      </c>
      <c r="BA93" s="809" t="str">
        <f t="shared" si="512"/>
        <v/>
      </c>
      <c r="BB93" s="1378">
        <v>9</v>
      </c>
      <c r="BC93" s="809" t="str">
        <f t="shared" si="513"/>
        <v/>
      </c>
      <c r="BD93" s="1376" t="str">
        <f t="shared" si="514"/>
        <v/>
      </c>
      <c r="BE93" s="1370" t="str">
        <f t="shared" si="529"/>
        <v/>
      </c>
      <c r="BF93" s="1369" t="str">
        <f t="shared" si="525"/>
        <v/>
      </c>
      <c r="BG93" s="1379" t="str">
        <f t="shared" si="515"/>
        <v/>
      </c>
      <c r="BH93" s="216" t="str">
        <f t="shared" si="526"/>
        <v/>
      </c>
      <c r="BI93" s="88">
        <f t="shared" si="516"/>
        <v>0</v>
      </c>
      <c r="BJ93" s="244">
        <f t="shared" si="517"/>
        <v>0</v>
      </c>
      <c r="BK93" s="245" t="str">
        <f t="shared" si="504"/>
        <v/>
      </c>
      <c r="BL93" s="246" t="str">
        <f t="shared" si="505"/>
        <v/>
      </c>
      <c r="BM93" s="247" t="str">
        <f t="shared" si="506"/>
        <v/>
      </c>
      <c r="BN93" s="249" t="str">
        <f t="shared" si="507"/>
        <v/>
      </c>
      <c r="BO93" s="249" t="str">
        <f t="shared" si="508"/>
        <v/>
      </c>
      <c r="BP93" s="249" t="str">
        <f t="shared" si="518"/>
        <v/>
      </c>
      <c r="BQ93" s="252" t="str">
        <f t="shared" si="509"/>
        <v/>
      </c>
      <c r="BR93" s="248">
        <f t="shared" si="519"/>
        <v>0</v>
      </c>
      <c r="BS93" s="248">
        <f t="shared" si="520"/>
        <v>0</v>
      </c>
      <c r="BT93" s="248">
        <f t="shared" si="521"/>
        <v>0</v>
      </c>
      <c r="BU93" s="249" t="str">
        <f t="shared" si="527"/>
        <v/>
      </c>
      <c r="BV93" s="250">
        <f t="shared" si="522"/>
        <v>0</v>
      </c>
      <c r="BW93" s="243" t="str">
        <f t="shared" si="523"/>
        <v/>
      </c>
      <c r="BX93" s="243" t="str">
        <f>IF(OR(BU93="",BU93=0),"",IF(BW93&gt;'Quadro 1'!$G$23,'Quadro 1'!$G$23,IF(BW93&lt;'Quadro 1'!$G$10,'Quadro 1'!$G$10,MIN(BY93:BZ93))))</f>
        <v/>
      </c>
      <c r="BY93" s="243" t="str">
        <f>IF($BW93&lt;='Quadro 1'!$G$10,'Quadro 1'!$G$10,IF($BW93&lt;='Quadro 1'!$G$11,'Quadro 1'!$G$11,IF($BW93&lt;='Quadro 1'!$G$12,'Quadro 1'!$G$12,IF($BW93&lt;='Quadro 1'!$G$13,'Quadro 1'!$G$13,IF($BW93&lt;='Quadro 1'!$G$14,'Quadro 1'!$G$14,IF($BW93&lt;='Quadro 1'!$G$15,'Quadro 1'!$G$15,IF($BW93&lt;='Quadro 1'!$G$16,'Quadro 1'!$G$16,"")))))))</f>
        <v/>
      </c>
      <c r="BZ93" s="243" t="str">
        <f>IF(OR(BU93="",BU93=0),"",IF($BW93&lt;='Quadro 1'!$G$17,'Quadro 1'!$G$17,IF($BW93&lt;='Quadro 1'!$G$18,'Quadro 1'!$G$18,IF($BW93&lt;='Quadro 1'!$G$19,'Quadro 1'!$G$19,IF($BW93&lt;='Quadro 1'!$G$20,'Quadro 1'!$G$20,IF($BW93&lt;='Quadro 1'!$G$21,'Quadro 1'!$G$21,IF($BW93&lt;='Quadro 1'!$G$22,'Quadro 1'!$G$22,IF($BW93&lt;='Quadro 1'!$G$23,'Quadro 1'!$G$23,'Quadro 1'!$G$23))))))))</f>
        <v/>
      </c>
      <c r="EB93" s="33"/>
      <c r="EC93" s="33"/>
      <c r="ED93" s="33"/>
      <c r="EF93" s="33"/>
      <c r="EG93" s="33"/>
      <c r="EH93" s="33"/>
      <c r="EI93" s="33"/>
      <c r="EJ93" s="33"/>
      <c r="EK93" s="33"/>
      <c r="EL93" s="33"/>
      <c r="EM93" s="33"/>
      <c r="EO93" s="33"/>
      <c r="EP93" s="33"/>
      <c r="EQ93" s="33"/>
      <c r="ET93" s="33"/>
      <c r="EU93" s="33"/>
      <c r="EV93" s="33"/>
      <c r="EW93" s="33">
        <v>11</v>
      </c>
      <c r="EY93" s="33"/>
      <c r="FC93" s="121" t="str">
        <f t="shared" si="450"/>
        <v/>
      </c>
      <c r="FD93" s="115" t="str">
        <f t="shared" si="451"/>
        <v/>
      </c>
      <c r="FE93" s="92">
        <f t="shared" si="452"/>
        <v>0</v>
      </c>
      <c r="FF93" s="711">
        <f t="shared" si="453"/>
        <v>0</v>
      </c>
      <c r="FG93" s="702">
        <f t="shared" si="453"/>
        <v>0</v>
      </c>
      <c r="FH93" s="19">
        <f t="shared" si="478"/>
        <v>0</v>
      </c>
      <c r="FI93" s="718"/>
      <c r="FJ93" s="701" t="str">
        <f t="shared" si="479"/>
        <v/>
      </c>
      <c r="FK93" s="66">
        <f t="shared" si="454"/>
        <v>0</v>
      </c>
      <c r="FL93" s="715"/>
      <c r="FM93" s="716"/>
      <c r="FN93" s="701" t="str">
        <f t="shared" si="480"/>
        <v/>
      </c>
      <c r="FO93" s="66">
        <f t="shared" si="455"/>
        <v>0</v>
      </c>
      <c r="FP93" s="715"/>
      <c r="FQ93" s="716"/>
      <c r="FR93" s="701" t="str">
        <f t="shared" si="481"/>
        <v/>
      </c>
      <c r="FS93" s="66">
        <f t="shared" si="456"/>
        <v>0</v>
      </c>
      <c r="FT93" s="715"/>
      <c r="FU93" s="716"/>
      <c r="FV93" s="701" t="str">
        <f t="shared" si="482"/>
        <v/>
      </c>
      <c r="FW93" s="66">
        <f t="shared" si="457"/>
        <v>0</v>
      </c>
      <c r="FX93" s="715"/>
      <c r="FY93" s="716"/>
      <c r="FZ93" s="701" t="str">
        <f t="shared" si="483"/>
        <v/>
      </c>
      <c r="GA93" s="66">
        <f t="shared" si="458"/>
        <v>0</v>
      </c>
      <c r="GB93" s="715"/>
      <c r="GC93" s="716"/>
      <c r="GD93" s="701" t="str">
        <f t="shared" si="484"/>
        <v/>
      </c>
      <c r="GE93" s="66">
        <f t="shared" si="459"/>
        <v>0</v>
      </c>
      <c r="GF93" s="715"/>
      <c r="GG93" s="716"/>
      <c r="GH93" s="701" t="str">
        <f t="shared" si="485"/>
        <v/>
      </c>
      <c r="GI93" s="66">
        <f t="shared" si="460"/>
        <v>0</v>
      </c>
      <c r="GJ93" s="715"/>
      <c r="GK93" s="716"/>
      <c r="GL93" s="701" t="str">
        <f t="shared" si="486"/>
        <v/>
      </c>
      <c r="GM93" s="66">
        <f t="shared" si="461"/>
        <v>0</v>
      </c>
      <c r="GN93" s="715"/>
      <c r="GO93" s="716"/>
      <c r="GP93" s="701" t="str">
        <f t="shared" si="487"/>
        <v/>
      </c>
      <c r="GQ93" s="66">
        <f t="shared" si="462"/>
        <v>0</v>
      </c>
      <c r="GR93" s="715"/>
      <c r="GS93" s="716"/>
      <c r="GT93" s="701" t="str">
        <f t="shared" si="488"/>
        <v/>
      </c>
      <c r="GU93" s="66">
        <f t="shared" si="463"/>
        <v>0</v>
      </c>
      <c r="GV93" s="715"/>
      <c r="GW93" s="716"/>
      <c r="GX93" s="701" t="str">
        <f t="shared" si="489"/>
        <v/>
      </c>
      <c r="GY93" s="66">
        <f t="shared" si="464"/>
        <v>0</v>
      </c>
      <c r="GZ93" s="715"/>
      <c r="HA93" s="716"/>
      <c r="HB93" s="701" t="str">
        <f t="shared" si="490"/>
        <v/>
      </c>
      <c r="HC93" s="66">
        <f t="shared" si="465"/>
        <v>0</v>
      </c>
      <c r="HD93" s="715"/>
      <c r="HE93" s="716"/>
      <c r="HF93" s="701" t="str">
        <f t="shared" si="491"/>
        <v/>
      </c>
      <c r="HG93" s="66">
        <f t="shared" si="466"/>
        <v>0</v>
      </c>
      <c r="HH93" s="715"/>
      <c r="HI93" s="716"/>
      <c r="HJ93" s="701" t="str">
        <f t="shared" si="492"/>
        <v/>
      </c>
      <c r="HK93" s="66">
        <f t="shared" si="467"/>
        <v>0</v>
      </c>
      <c r="HL93" s="715"/>
      <c r="HM93" s="716"/>
      <c r="HN93" s="701" t="str">
        <f t="shared" si="493"/>
        <v/>
      </c>
      <c r="HO93" s="66">
        <f t="shared" si="468"/>
        <v>0</v>
      </c>
      <c r="HP93" s="715"/>
      <c r="HQ93" s="716"/>
      <c r="HR93" s="701" t="str">
        <f t="shared" si="494"/>
        <v/>
      </c>
      <c r="HS93" s="66">
        <f t="shared" si="469"/>
        <v>0</v>
      </c>
      <c r="HT93" s="715"/>
      <c r="HU93" s="716"/>
      <c r="HV93" s="701" t="str">
        <f t="shared" si="495"/>
        <v/>
      </c>
      <c r="HW93" s="66">
        <f t="shared" si="470"/>
        <v>0</v>
      </c>
      <c r="HX93" s="715"/>
      <c r="HY93" s="716"/>
      <c r="HZ93" s="701" t="str">
        <f t="shared" si="496"/>
        <v/>
      </c>
      <c r="IA93" s="66">
        <f t="shared" si="471"/>
        <v>0</v>
      </c>
      <c r="IB93" s="715"/>
      <c r="IC93" s="716"/>
      <c r="ID93" s="701" t="str">
        <f t="shared" si="497"/>
        <v/>
      </c>
      <c r="IE93" s="66">
        <f t="shared" si="472"/>
        <v>0</v>
      </c>
      <c r="IF93" s="715"/>
      <c r="IG93" s="716"/>
      <c r="IH93" s="701" t="str">
        <f t="shared" si="498"/>
        <v/>
      </c>
      <c r="II93" s="66">
        <f t="shared" si="473"/>
        <v>0</v>
      </c>
      <c r="IJ93" s="715"/>
      <c r="IK93" s="716"/>
      <c r="IL93" s="701" t="str">
        <f t="shared" si="499"/>
        <v/>
      </c>
      <c r="IM93" s="66">
        <f t="shared" si="474"/>
        <v>0</v>
      </c>
      <c r="IN93" s="715"/>
      <c r="IO93" s="716"/>
      <c r="IP93" s="701" t="str">
        <f t="shared" si="500"/>
        <v/>
      </c>
      <c r="IQ93" s="66">
        <f t="shared" si="475"/>
        <v>0</v>
      </c>
      <c r="IR93" s="715"/>
      <c r="IS93" s="716"/>
      <c r="IT93" s="701" t="str">
        <f t="shared" si="501"/>
        <v/>
      </c>
      <c r="IU93" s="66">
        <f t="shared" si="476"/>
        <v>0</v>
      </c>
      <c r="IV93" s="715"/>
      <c r="IW93" s="716"/>
      <c r="IX93" s="701" t="str">
        <f t="shared" si="502"/>
        <v/>
      </c>
      <c r="IY93" s="66">
        <f t="shared" si="477"/>
        <v>0</v>
      </c>
    </row>
    <row r="94" spans="46:259" ht="13.3" thickTop="1" thickBot="1" x14ac:dyDescent="0.35">
      <c r="AV94" s="1365"/>
      <c r="AX94" s="1366"/>
      <c r="BF94" s="1367"/>
      <c r="BU94" s="1" t="str">
        <f t="shared" si="527"/>
        <v/>
      </c>
      <c r="BX94" s="242"/>
      <c r="BY94" s="242"/>
      <c r="EB94" s="33"/>
      <c r="EC94" s="33"/>
      <c r="ED94" s="33"/>
      <c r="EF94" s="33"/>
      <c r="EG94" s="33"/>
      <c r="EH94" s="33"/>
      <c r="EI94" s="33"/>
      <c r="EJ94" s="33"/>
      <c r="EK94" s="33"/>
      <c r="EL94" s="33"/>
      <c r="EM94" s="33"/>
      <c r="EO94" s="33"/>
      <c r="EP94" s="33"/>
      <c r="EQ94" s="33"/>
      <c r="ET94" s="33"/>
      <c r="EU94" s="33"/>
      <c r="EV94" s="33"/>
      <c r="EW94" s="33">
        <v>12</v>
      </c>
      <c r="EY94" s="33"/>
      <c r="FC94" s="121" t="str">
        <f t="shared" si="450"/>
        <v/>
      </c>
      <c r="FD94" s="115" t="str">
        <f t="shared" ref="FD94:FD107" si="530">IF(FC94="","",1)</f>
        <v/>
      </c>
      <c r="FE94" s="92">
        <f t="shared" si="452"/>
        <v>0</v>
      </c>
      <c r="FF94" s="711">
        <f t="shared" si="453"/>
        <v>0</v>
      </c>
      <c r="FG94" s="702">
        <f t="shared" si="453"/>
        <v>0</v>
      </c>
      <c r="FH94" s="19">
        <f t="shared" si="478"/>
        <v>0</v>
      </c>
      <c r="FI94" s="718"/>
      <c r="FJ94" s="701" t="str">
        <f t="shared" si="479"/>
        <v/>
      </c>
      <c r="FK94" s="66">
        <f t="shared" si="454"/>
        <v>0</v>
      </c>
      <c r="FL94" s="715"/>
      <c r="FM94" s="716"/>
      <c r="FN94" s="701" t="str">
        <f t="shared" si="480"/>
        <v/>
      </c>
      <c r="FO94" s="66">
        <f t="shared" si="455"/>
        <v>0</v>
      </c>
      <c r="FP94" s="715"/>
      <c r="FQ94" s="716"/>
      <c r="FR94" s="701" t="str">
        <f t="shared" si="481"/>
        <v/>
      </c>
      <c r="FS94" s="66">
        <f t="shared" si="456"/>
        <v>0</v>
      </c>
      <c r="FT94" s="715"/>
      <c r="FU94" s="716"/>
      <c r="FV94" s="701" t="str">
        <f t="shared" si="482"/>
        <v/>
      </c>
      <c r="FW94" s="66">
        <f t="shared" si="457"/>
        <v>0</v>
      </c>
      <c r="FX94" s="715"/>
      <c r="FY94" s="716"/>
      <c r="FZ94" s="701" t="str">
        <f t="shared" si="483"/>
        <v/>
      </c>
      <c r="GA94" s="66">
        <f t="shared" si="458"/>
        <v>0</v>
      </c>
      <c r="GB94" s="715"/>
      <c r="GC94" s="716"/>
      <c r="GD94" s="701" t="str">
        <f t="shared" si="484"/>
        <v/>
      </c>
      <c r="GE94" s="66">
        <f t="shared" si="459"/>
        <v>0</v>
      </c>
      <c r="GF94" s="715"/>
      <c r="GG94" s="716"/>
      <c r="GH94" s="701" t="str">
        <f t="shared" si="485"/>
        <v/>
      </c>
      <c r="GI94" s="66">
        <f t="shared" si="460"/>
        <v>0</v>
      </c>
      <c r="GJ94" s="715"/>
      <c r="GK94" s="716"/>
      <c r="GL94" s="701" t="str">
        <f t="shared" si="486"/>
        <v/>
      </c>
      <c r="GM94" s="66">
        <f t="shared" si="461"/>
        <v>0</v>
      </c>
      <c r="GN94" s="715"/>
      <c r="GO94" s="716"/>
      <c r="GP94" s="701" t="str">
        <f t="shared" si="487"/>
        <v/>
      </c>
      <c r="GQ94" s="66">
        <f t="shared" si="462"/>
        <v>0</v>
      </c>
      <c r="GR94" s="715"/>
      <c r="GS94" s="716"/>
      <c r="GT94" s="701" t="str">
        <f t="shared" si="488"/>
        <v/>
      </c>
      <c r="GU94" s="66">
        <f t="shared" si="463"/>
        <v>0</v>
      </c>
      <c r="GV94" s="715"/>
      <c r="GW94" s="716"/>
      <c r="GX94" s="701" t="str">
        <f t="shared" si="489"/>
        <v/>
      </c>
      <c r="GY94" s="66">
        <f t="shared" si="464"/>
        <v>0</v>
      </c>
      <c r="GZ94" s="715"/>
      <c r="HA94" s="716"/>
      <c r="HB94" s="701" t="str">
        <f t="shared" si="490"/>
        <v/>
      </c>
      <c r="HC94" s="66">
        <f t="shared" si="465"/>
        <v>0</v>
      </c>
      <c r="HD94" s="715"/>
      <c r="HE94" s="716"/>
      <c r="HF94" s="701" t="str">
        <f t="shared" si="491"/>
        <v/>
      </c>
      <c r="HG94" s="66">
        <f t="shared" si="466"/>
        <v>0</v>
      </c>
      <c r="HH94" s="715"/>
      <c r="HI94" s="716"/>
      <c r="HJ94" s="701" t="str">
        <f t="shared" si="492"/>
        <v/>
      </c>
      <c r="HK94" s="66">
        <f t="shared" si="467"/>
        <v>0</v>
      </c>
      <c r="HL94" s="715"/>
      <c r="HM94" s="716"/>
      <c r="HN94" s="701" t="str">
        <f t="shared" si="493"/>
        <v/>
      </c>
      <c r="HO94" s="66">
        <f t="shared" si="468"/>
        <v>0</v>
      </c>
      <c r="HP94" s="715"/>
      <c r="HQ94" s="716"/>
      <c r="HR94" s="701" t="str">
        <f t="shared" si="494"/>
        <v/>
      </c>
      <c r="HS94" s="66">
        <f t="shared" si="469"/>
        <v>0</v>
      </c>
      <c r="HT94" s="715"/>
      <c r="HU94" s="716"/>
      <c r="HV94" s="701" t="str">
        <f t="shared" si="495"/>
        <v/>
      </c>
      <c r="HW94" s="66">
        <f t="shared" si="470"/>
        <v>0</v>
      </c>
      <c r="HX94" s="715"/>
      <c r="HY94" s="716"/>
      <c r="HZ94" s="701" t="str">
        <f t="shared" si="496"/>
        <v/>
      </c>
      <c r="IA94" s="66">
        <f t="shared" si="471"/>
        <v>0</v>
      </c>
      <c r="IB94" s="715"/>
      <c r="IC94" s="716"/>
      <c r="ID94" s="701" t="str">
        <f t="shared" si="497"/>
        <v/>
      </c>
      <c r="IE94" s="66">
        <f t="shared" si="472"/>
        <v>0</v>
      </c>
      <c r="IF94" s="715"/>
      <c r="IG94" s="716"/>
      <c r="IH94" s="701" t="str">
        <f t="shared" si="498"/>
        <v/>
      </c>
      <c r="II94" s="66">
        <f t="shared" si="473"/>
        <v>0</v>
      </c>
      <c r="IJ94" s="715"/>
      <c r="IK94" s="716"/>
      <c r="IL94" s="701" t="str">
        <f t="shared" si="499"/>
        <v/>
      </c>
      <c r="IM94" s="66">
        <f t="shared" si="474"/>
        <v>0</v>
      </c>
      <c r="IN94" s="715"/>
      <c r="IO94" s="716"/>
      <c r="IP94" s="701" t="str">
        <f t="shared" si="500"/>
        <v/>
      </c>
      <c r="IQ94" s="66">
        <f t="shared" si="475"/>
        <v>0</v>
      </c>
      <c r="IR94" s="715"/>
      <c r="IS94" s="716"/>
      <c r="IT94" s="701" t="str">
        <f t="shared" si="501"/>
        <v/>
      </c>
      <c r="IU94" s="66">
        <f t="shared" si="476"/>
        <v>0</v>
      </c>
      <c r="IV94" s="715"/>
      <c r="IW94" s="716"/>
      <c r="IX94" s="701" t="str">
        <f t="shared" si="502"/>
        <v/>
      </c>
      <c r="IY94" s="66">
        <f t="shared" si="477"/>
        <v>0</v>
      </c>
    </row>
    <row r="95" spans="46:259" ht="13.3" thickTop="1" thickBot="1" x14ac:dyDescent="0.35">
      <c r="AX95" s="1364"/>
      <c r="BF95" s="1367"/>
      <c r="BX95" s="242"/>
      <c r="BY95" s="242"/>
      <c r="EB95" s="33"/>
      <c r="EC95" s="33"/>
      <c r="ED95" s="33"/>
      <c r="EF95" s="33"/>
      <c r="EG95" s="33"/>
      <c r="EH95" s="33"/>
      <c r="EI95" s="33"/>
      <c r="EJ95" s="33"/>
      <c r="EK95" s="33"/>
      <c r="EL95" s="33"/>
      <c r="EM95" s="33"/>
      <c r="EO95" s="33"/>
      <c r="EP95" s="33"/>
      <c r="EQ95" s="33"/>
      <c r="ET95" s="33"/>
      <c r="EU95" s="33"/>
      <c r="EV95" s="33"/>
      <c r="EW95" s="33">
        <v>13</v>
      </c>
      <c r="EY95" s="33"/>
      <c r="FC95" s="121" t="str">
        <f t="shared" si="450"/>
        <v/>
      </c>
      <c r="FD95" s="115" t="str">
        <f t="shared" si="530"/>
        <v/>
      </c>
      <c r="FE95" s="92">
        <f t="shared" si="452"/>
        <v>0</v>
      </c>
      <c r="FF95" s="711">
        <f t="shared" si="453"/>
        <v>0</v>
      </c>
      <c r="FG95" s="702">
        <f t="shared" si="453"/>
        <v>0</v>
      </c>
      <c r="FH95" s="19">
        <f t="shared" si="478"/>
        <v>0</v>
      </c>
      <c r="FI95" s="718"/>
      <c r="FJ95" s="701" t="str">
        <f t="shared" si="479"/>
        <v/>
      </c>
      <c r="FK95" s="66">
        <f t="shared" si="454"/>
        <v>0</v>
      </c>
      <c r="FL95" s="715"/>
      <c r="FM95" s="716"/>
      <c r="FN95" s="701" t="str">
        <f t="shared" si="480"/>
        <v/>
      </c>
      <c r="FO95" s="66">
        <f t="shared" si="455"/>
        <v>0</v>
      </c>
      <c r="FP95" s="715"/>
      <c r="FQ95" s="716"/>
      <c r="FR95" s="701" t="str">
        <f t="shared" si="481"/>
        <v/>
      </c>
      <c r="FS95" s="66">
        <f t="shared" si="456"/>
        <v>0</v>
      </c>
      <c r="FT95" s="715"/>
      <c r="FU95" s="716"/>
      <c r="FV95" s="701" t="str">
        <f t="shared" si="482"/>
        <v/>
      </c>
      <c r="FW95" s="66">
        <f t="shared" si="457"/>
        <v>0</v>
      </c>
      <c r="FX95" s="715"/>
      <c r="FY95" s="716"/>
      <c r="FZ95" s="701" t="str">
        <f t="shared" si="483"/>
        <v/>
      </c>
      <c r="GA95" s="66">
        <f t="shared" si="458"/>
        <v>0</v>
      </c>
      <c r="GB95" s="715"/>
      <c r="GC95" s="716"/>
      <c r="GD95" s="701" t="str">
        <f t="shared" si="484"/>
        <v/>
      </c>
      <c r="GE95" s="66">
        <f t="shared" si="459"/>
        <v>0</v>
      </c>
      <c r="GF95" s="715"/>
      <c r="GG95" s="716"/>
      <c r="GH95" s="701" t="str">
        <f t="shared" si="485"/>
        <v/>
      </c>
      <c r="GI95" s="66">
        <f t="shared" si="460"/>
        <v>0</v>
      </c>
      <c r="GJ95" s="715"/>
      <c r="GK95" s="716"/>
      <c r="GL95" s="701" t="str">
        <f t="shared" si="486"/>
        <v/>
      </c>
      <c r="GM95" s="66">
        <f t="shared" si="461"/>
        <v>0</v>
      </c>
      <c r="GN95" s="715"/>
      <c r="GO95" s="716"/>
      <c r="GP95" s="701" t="str">
        <f t="shared" si="487"/>
        <v/>
      </c>
      <c r="GQ95" s="66">
        <f t="shared" si="462"/>
        <v>0</v>
      </c>
      <c r="GR95" s="715"/>
      <c r="GS95" s="716"/>
      <c r="GT95" s="701" t="str">
        <f t="shared" si="488"/>
        <v/>
      </c>
      <c r="GU95" s="66">
        <f t="shared" si="463"/>
        <v>0</v>
      </c>
      <c r="GV95" s="715"/>
      <c r="GW95" s="716"/>
      <c r="GX95" s="701" t="str">
        <f t="shared" si="489"/>
        <v/>
      </c>
      <c r="GY95" s="66">
        <f t="shared" si="464"/>
        <v>0</v>
      </c>
      <c r="GZ95" s="715"/>
      <c r="HA95" s="716"/>
      <c r="HB95" s="701" t="str">
        <f t="shared" si="490"/>
        <v/>
      </c>
      <c r="HC95" s="66">
        <f t="shared" si="465"/>
        <v>0</v>
      </c>
      <c r="HD95" s="715"/>
      <c r="HE95" s="716"/>
      <c r="HF95" s="701" t="str">
        <f t="shared" si="491"/>
        <v/>
      </c>
      <c r="HG95" s="66">
        <f t="shared" si="466"/>
        <v>0</v>
      </c>
      <c r="HH95" s="715"/>
      <c r="HI95" s="716"/>
      <c r="HJ95" s="701" t="str">
        <f t="shared" si="492"/>
        <v/>
      </c>
      <c r="HK95" s="66">
        <f t="shared" si="467"/>
        <v>0</v>
      </c>
      <c r="HL95" s="715"/>
      <c r="HM95" s="716"/>
      <c r="HN95" s="701" t="str">
        <f t="shared" si="493"/>
        <v/>
      </c>
      <c r="HO95" s="66">
        <f t="shared" si="468"/>
        <v>0</v>
      </c>
      <c r="HP95" s="715"/>
      <c r="HQ95" s="716"/>
      <c r="HR95" s="701" t="str">
        <f t="shared" si="494"/>
        <v/>
      </c>
      <c r="HS95" s="66">
        <f t="shared" si="469"/>
        <v>0</v>
      </c>
      <c r="HT95" s="715"/>
      <c r="HU95" s="716"/>
      <c r="HV95" s="701" t="str">
        <f t="shared" si="495"/>
        <v/>
      </c>
      <c r="HW95" s="66">
        <f t="shared" si="470"/>
        <v>0</v>
      </c>
      <c r="HX95" s="715"/>
      <c r="HY95" s="716"/>
      <c r="HZ95" s="701" t="str">
        <f t="shared" si="496"/>
        <v/>
      </c>
      <c r="IA95" s="66">
        <f t="shared" si="471"/>
        <v>0</v>
      </c>
      <c r="IB95" s="715"/>
      <c r="IC95" s="716"/>
      <c r="ID95" s="701" t="str">
        <f t="shared" si="497"/>
        <v/>
      </c>
      <c r="IE95" s="66">
        <f t="shared" si="472"/>
        <v>0</v>
      </c>
      <c r="IF95" s="715"/>
      <c r="IG95" s="716"/>
      <c r="IH95" s="701" t="str">
        <f t="shared" si="498"/>
        <v/>
      </c>
      <c r="II95" s="66">
        <f t="shared" si="473"/>
        <v>0</v>
      </c>
      <c r="IJ95" s="715"/>
      <c r="IK95" s="716"/>
      <c r="IL95" s="701" t="str">
        <f t="shared" si="499"/>
        <v/>
      </c>
      <c r="IM95" s="66">
        <f t="shared" si="474"/>
        <v>0</v>
      </c>
      <c r="IN95" s="715"/>
      <c r="IO95" s="716"/>
      <c r="IP95" s="701" t="str">
        <f t="shared" si="500"/>
        <v/>
      </c>
      <c r="IQ95" s="66">
        <f t="shared" si="475"/>
        <v>0</v>
      </c>
      <c r="IR95" s="715"/>
      <c r="IS95" s="716"/>
      <c r="IT95" s="701" t="str">
        <f t="shared" si="501"/>
        <v/>
      </c>
      <c r="IU95" s="66">
        <f t="shared" si="476"/>
        <v>0</v>
      </c>
      <c r="IV95" s="715"/>
      <c r="IW95" s="716"/>
      <c r="IX95" s="701" t="str">
        <f t="shared" si="502"/>
        <v/>
      </c>
      <c r="IY95" s="66">
        <f t="shared" si="477"/>
        <v>0</v>
      </c>
    </row>
    <row r="96" spans="46:259" ht="13.3" thickTop="1" thickBot="1" x14ac:dyDescent="0.35">
      <c r="AX96" s="2"/>
      <c r="BF96" s="1367"/>
      <c r="BX96" s="242"/>
      <c r="BY96" s="242"/>
      <c r="EB96" s="33"/>
      <c r="EC96" s="33"/>
      <c r="ED96" s="33"/>
      <c r="EF96" s="33"/>
      <c r="EG96" s="33"/>
      <c r="EH96" s="33"/>
      <c r="EI96" s="33"/>
      <c r="EJ96" s="33"/>
      <c r="EK96" s="33"/>
      <c r="EL96" s="33"/>
      <c r="EM96" s="33"/>
      <c r="EO96" s="33"/>
      <c r="EP96" s="33"/>
      <c r="EQ96" s="33"/>
      <c r="ET96" s="33"/>
      <c r="EU96" s="33"/>
      <c r="EV96" s="33"/>
      <c r="EW96" s="33">
        <v>14</v>
      </c>
      <c r="EY96" s="33"/>
      <c r="FC96" s="121" t="str">
        <f t="shared" si="450"/>
        <v/>
      </c>
      <c r="FD96" s="115" t="str">
        <f t="shared" si="530"/>
        <v/>
      </c>
      <c r="FE96" s="92">
        <f t="shared" si="452"/>
        <v>0</v>
      </c>
      <c r="FF96" s="711">
        <f t="shared" si="453"/>
        <v>0</v>
      </c>
      <c r="FG96" s="702">
        <f t="shared" si="453"/>
        <v>0</v>
      </c>
      <c r="FH96" s="19">
        <f t="shared" si="478"/>
        <v>0</v>
      </c>
      <c r="FI96" s="718"/>
      <c r="FJ96" s="701" t="str">
        <f t="shared" si="479"/>
        <v/>
      </c>
      <c r="FK96" s="66">
        <f t="shared" si="454"/>
        <v>0</v>
      </c>
      <c r="FL96" s="715"/>
      <c r="FM96" s="716"/>
      <c r="FN96" s="701" t="str">
        <f t="shared" si="480"/>
        <v/>
      </c>
      <c r="FO96" s="66">
        <f t="shared" si="455"/>
        <v>0</v>
      </c>
      <c r="FP96" s="715"/>
      <c r="FQ96" s="716"/>
      <c r="FR96" s="701" t="str">
        <f t="shared" si="481"/>
        <v/>
      </c>
      <c r="FS96" s="66">
        <f t="shared" si="456"/>
        <v>0</v>
      </c>
      <c r="FT96" s="715"/>
      <c r="FU96" s="716"/>
      <c r="FV96" s="701" t="str">
        <f t="shared" si="482"/>
        <v/>
      </c>
      <c r="FW96" s="66">
        <f t="shared" si="457"/>
        <v>0</v>
      </c>
      <c r="FX96" s="715"/>
      <c r="FY96" s="716"/>
      <c r="FZ96" s="701" t="str">
        <f t="shared" si="483"/>
        <v/>
      </c>
      <c r="GA96" s="66">
        <f t="shared" si="458"/>
        <v>0</v>
      </c>
      <c r="GB96" s="715"/>
      <c r="GC96" s="716"/>
      <c r="GD96" s="701" t="str">
        <f t="shared" si="484"/>
        <v/>
      </c>
      <c r="GE96" s="66">
        <f t="shared" si="459"/>
        <v>0</v>
      </c>
      <c r="GF96" s="715"/>
      <c r="GG96" s="716"/>
      <c r="GH96" s="701" t="str">
        <f t="shared" si="485"/>
        <v/>
      </c>
      <c r="GI96" s="66">
        <f t="shared" si="460"/>
        <v>0</v>
      </c>
      <c r="GJ96" s="715"/>
      <c r="GK96" s="716"/>
      <c r="GL96" s="701" t="str">
        <f t="shared" si="486"/>
        <v/>
      </c>
      <c r="GM96" s="66">
        <f t="shared" si="461"/>
        <v>0</v>
      </c>
      <c r="GN96" s="715"/>
      <c r="GO96" s="716"/>
      <c r="GP96" s="701" t="str">
        <f t="shared" si="487"/>
        <v/>
      </c>
      <c r="GQ96" s="66">
        <f t="shared" si="462"/>
        <v>0</v>
      </c>
      <c r="GR96" s="715"/>
      <c r="GS96" s="716"/>
      <c r="GT96" s="701" t="str">
        <f t="shared" si="488"/>
        <v/>
      </c>
      <c r="GU96" s="66">
        <f t="shared" si="463"/>
        <v>0</v>
      </c>
      <c r="GV96" s="715"/>
      <c r="GW96" s="716"/>
      <c r="GX96" s="701" t="str">
        <f t="shared" si="489"/>
        <v/>
      </c>
      <c r="GY96" s="66">
        <f t="shared" si="464"/>
        <v>0</v>
      </c>
      <c r="GZ96" s="715"/>
      <c r="HA96" s="716"/>
      <c r="HB96" s="701" t="str">
        <f t="shared" si="490"/>
        <v/>
      </c>
      <c r="HC96" s="66">
        <f t="shared" si="465"/>
        <v>0</v>
      </c>
      <c r="HD96" s="715"/>
      <c r="HE96" s="716"/>
      <c r="HF96" s="701" t="str">
        <f t="shared" si="491"/>
        <v/>
      </c>
      <c r="HG96" s="66">
        <f t="shared" si="466"/>
        <v>0</v>
      </c>
      <c r="HH96" s="715"/>
      <c r="HI96" s="716"/>
      <c r="HJ96" s="701" t="str">
        <f t="shared" si="492"/>
        <v/>
      </c>
      <c r="HK96" s="66">
        <f t="shared" si="467"/>
        <v>0</v>
      </c>
      <c r="HL96" s="715"/>
      <c r="HM96" s="716"/>
      <c r="HN96" s="701" t="str">
        <f t="shared" si="493"/>
        <v/>
      </c>
      <c r="HO96" s="66">
        <f t="shared" si="468"/>
        <v>0</v>
      </c>
      <c r="HP96" s="715"/>
      <c r="HQ96" s="716"/>
      <c r="HR96" s="701" t="str">
        <f t="shared" si="494"/>
        <v/>
      </c>
      <c r="HS96" s="66">
        <f t="shared" si="469"/>
        <v>0</v>
      </c>
      <c r="HT96" s="715"/>
      <c r="HU96" s="716"/>
      <c r="HV96" s="701" t="str">
        <f t="shared" si="495"/>
        <v/>
      </c>
      <c r="HW96" s="66">
        <f t="shared" si="470"/>
        <v>0</v>
      </c>
      <c r="HX96" s="715"/>
      <c r="HY96" s="716"/>
      <c r="HZ96" s="701" t="str">
        <f t="shared" si="496"/>
        <v/>
      </c>
      <c r="IA96" s="66">
        <f t="shared" si="471"/>
        <v>0</v>
      </c>
      <c r="IB96" s="715"/>
      <c r="IC96" s="716"/>
      <c r="ID96" s="701" t="str">
        <f t="shared" si="497"/>
        <v/>
      </c>
      <c r="IE96" s="66">
        <f t="shared" si="472"/>
        <v>0</v>
      </c>
      <c r="IF96" s="715"/>
      <c r="IG96" s="716"/>
      <c r="IH96" s="701" t="str">
        <f t="shared" si="498"/>
        <v/>
      </c>
      <c r="II96" s="66">
        <f t="shared" si="473"/>
        <v>0</v>
      </c>
      <c r="IJ96" s="715"/>
      <c r="IK96" s="716"/>
      <c r="IL96" s="701" t="str">
        <f t="shared" si="499"/>
        <v/>
      </c>
      <c r="IM96" s="66">
        <f t="shared" si="474"/>
        <v>0</v>
      </c>
      <c r="IN96" s="715"/>
      <c r="IO96" s="716"/>
      <c r="IP96" s="701" t="str">
        <f t="shared" si="500"/>
        <v/>
      </c>
      <c r="IQ96" s="66">
        <f t="shared" si="475"/>
        <v>0</v>
      </c>
      <c r="IR96" s="715"/>
      <c r="IS96" s="716"/>
      <c r="IT96" s="701" t="str">
        <f t="shared" si="501"/>
        <v/>
      </c>
      <c r="IU96" s="66">
        <f t="shared" si="476"/>
        <v>0</v>
      </c>
      <c r="IV96" s="715"/>
      <c r="IW96" s="716"/>
      <c r="IX96" s="701" t="str">
        <f t="shared" si="502"/>
        <v/>
      </c>
      <c r="IY96" s="66">
        <f t="shared" si="477"/>
        <v>0</v>
      </c>
    </row>
    <row r="97" spans="45:259" ht="13.3" thickTop="1" thickBot="1" x14ac:dyDescent="0.35">
      <c r="AT97" s="766" t="s">
        <v>600</v>
      </c>
      <c r="AX97" s="2"/>
      <c r="BF97" s="1367"/>
      <c r="BX97" s="242"/>
      <c r="BY97" s="242"/>
      <c r="EB97" s="33"/>
      <c r="EC97" s="33"/>
      <c r="ED97" s="33"/>
      <c r="EF97" s="33"/>
      <c r="EG97" s="33"/>
      <c r="EH97" s="33"/>
      <c r="EI97" s="33"/>
      <c r="EJ97" s="33"/>
      <c r="EK97" s="33"/>
      <c r="EL97" s="33"/>
      <c r="EM97" s="33"/>
      <c r="EO97" s="33"/>
      <c r="EP97" s="33"/>
      <c r="EQ97" s="33"/>
      <c r="ET97" s="33"/>
      <c r="EU97" s="33"/>
      <c r="EV97" s="33"/>
      <c r="EW97" s="33">
        <v>15</v>
      </c>
      <c r="EY97" s="33"/>
      <c r="FC97" s="121" t="str">
        <f t="shared" si="450"/>
        <v/>
      </c>
      <c r="FD97" s="115" t="str">
        <f t="shared" si="530"/>
        <v/>
      </c>
      <c r="FE97" s="92">
        <f t="shared" si="452"/>
        <v>0</v>
      </c>
      <c r="FF97" s="711">
        <f t="shared" si="453"/>
        <v>0</v>
      </c>
      <c r="FG97" s="702">
        <f t="shared" si="453"/>
        <v>0</v>
      </c>
      <c r="FH97" s="19">
        <f t="shared" si="478"/>
        <v>0</v>
      </c>
      <c r="FI97" s="718"/>
      <c r="FJ97" s="701" t="str">
        <f t="shared" si="479"/>
        <v/>
      </c>
      <c r="FK97" s="66">
        <f t="shared" si="454"/>
        <v>0</v>
      </c>
      <c r="FL97" s="715"/>
      <c r="FM97" s="716"/>
      <c r="FN97" s="701" t="str">
        <f t="shared" si="480"/>
        <v/>
      </c>
      <c r="FO97" s="66">
        <f t="shared" si="455"/>
        <v>0</v>
      </c>
      <c r="FP97" s="715"/>
      <c r="FQ97" s="716"/>
      <c r="FR97" s="701" t="str">
        <f t="shared" si="481"/>
        <v/>
      </c>
      <c r="FS97" s="66">
        <f t="shared" si="456"/>
        <v>0</v>
      </c>
      <c r="FT97" s="715"/>
      <c r="FU97" s="716"/>
      <c r="FV97" s="701" t="str">
        <f t="shared" si="482"/>
        <v/>
      </c>
      <c r="FW97" s="66">
        <f t="shared" si="457"/>
        <v>0</v>
      </c>
      <c r="FX97" s="715"/>
      <c r="FY97" s="716"/>
      <c r="FZ97" s="701" t="str">
        <f t="shared" si="483"/>
        <v/>
      </c>
      <c r="GA97" s="66">
        <f t="shared" si="458"/>
        <v>0</v>
      </c>
      <c r="GB97" s="715"/>
      <c r="GC97" s="716"/>
      <c r="GD97" s="701" t="str">
        <f t="shared" si="484"/>
        <v/>
      </c>
      <c r="GE97" s="66">
        <f t="shared" si="459"/>
        <v>0</v>
      </c>
      <c r="GF97" s="715"/>
      <c r="GG97" s="716"/>
      <c r="GH97" s="701" t="str">
        <f t="shared" si="485"/>
        <v/>
      </c>
      <c r="GI97" s="66">
        <f t="shared" si="460"/>
        <v>0</v>
      </c>
      <c r="GJ97" s="715"/>
      <c r="GK97" s="716"/>
      <c r="GL97" s="701" t="str">
        <f t="shared" si="486"/>
        <v/>
      </c>
      <c r="GM97" s="66">
        <f t="shared" si="461"/>
        <v>0</v>
      </c>
      <c r="GN97" s="715"/>
      <c r="GO97" s="716"/>
      <c r="GP97" s="701" t="str">
        <f t="shared" si="487"/>
        <v/>
      </c>
      <c r="GQ97" s="66">
        <f t="shared" si="462"/>
        <v>0</v>
      </c>
      <c r="GR97" s="715"/>
      <c r="GS97" s="716"/>
      <c r="GT97" s="701" t="str">
        <f t="shared" si="488"/>
        <v/>
      </c>
      <c r="GU97" s="66">
        <f t="shared" si="463"/>
        <v>0</v>
      </c>
      <c r="GV97" s="715"/>
      <c r="GW97" s="716"/>
      <c r="GX97" s="701" t="str">
        <f t="shared" si="489"/>
        <v/>
      </c>
      <c r="GY97" s="66">
        <f t="shared" si="464"/>
        <v>0</v>
      </c>
      <c r="GZ97" s="715"/>
      <c r="HA97" s="716"/>
      <c r="HB97" s="701" t="str">
        <f t="shared" si="490"/>
        <v/>
      </c>
      <c r="HC97" s="66">
        <f t="shared" si="465"/>
        <v>0</v>
      </c>
      <c r="HD97" s="715"/>
      <c r="HE97" s="716"/>
      <c r="HF97" s="701" t="str">
        <f t="shared" si="491"/>
        <v/>
      </c>
      <c r="HG97" s="66">
        <f t="shared" si="466"/>
        <v>0</v>
      </c>
      <c r="HH97" s="715"/>
      <c r="HI97" s="716"/>
      <c r="HJ97" s="701" t="str">
        <f t="shared" si="492"/>
        <v/>
      </c>
      <c r="HK97" s="66">
        <f t="shared" si="467"/>
        <v>0</v>
      </c>
      <c r="HL97" s="715"/>
      <c r="HM97" s="716"/>
      <c r="HN97" s="701" t="str">
        <f t="shared" si="493"/>
        <v/>
      </c>
      <c r="HO97" s="66">
        <f t="shared" si="468"/>
        <v>0</v>
      </c>
      <c r="HP97" s="715"/>
      <c r="HQ97" s="716"/>
      <c r="HR97" s="701" t="str">
        <f t="shared" si="494"/>
        <v/>
      </c>
      <c r="HS97" s="66">
        <f t="shared" si="469"/>
        <v>0</v>
      </c>
      <c r="HT97" s="715"/>
      <c r="HU97" s="716"/>
      <c r="HV97" s="701" t="str">
        <f t="shared" si="495"/>
        <v/>
      </c>
      <c r="HW97" s="66">
        <f t="shared" si="470"/>
        <v>0</v>
      </c>
      <c r="HX97" s="715"/>
      <c r="HY97" s="716"/>
      <c r="HZ97" s="701" t="str">
        <f t="shared" si="496"/>
        <v/>
      </c>
      <c r="IA97" s="66">
        <f t="shared" si="471"/>
        <v>0</v>
      </c>
      <c r="IB97" s="715"/>
      <c r="IC97" s="716"/>
      <c r="ID97" s="701" t="str">
        <f t="shared" si="497"/>
        <v/>
      </c>
      <c r="IE97" s="66">
        <f t="shared" si="472"/>
        <v>0</v>
      </c>
      <c r="IF97" s="715"/>
      <c r="IG97" s="716"/>
      <c r="IH97" s="701" t="str">
        <f t="shared" si="498"/>
        <v/>
      </c>
      <c r="II97" s="66">
        <f t="shared" si="473"/>
        <v>0</v>
      </c>
      <c r="IJ97" s="715"/>
      <c r="IK97" s="716"/>
      <c r="IL97" s="701" t="str">
        <f t="shared" si="499"/>
        <v/>
      </c>
      <c r="IM97" s="66">
        <f t="shared" si="474"/>
        <v>0</v>
      </c>
      <c r="IN97" s="715"/>
      <c r="IO97" s="716"/>
      <c r="IP97" s="701" t="str">
        <f t="shared" si="500"/>
        <v/>
      </c>
      <c r="IQ97" s="66">
        <f t="shared" si="475"/>
        <v>0</v>
      </c>
      <c r="IR97" s="715"/>
      <c r="IS97" s="716"/>
      <c r="IT97" s="701" t="str">
        <f t="shared" si="501"/>
        <v/>
      </c>
      <c r="IU97" s="66">
        <f t="shared" si="476"/>
        <v>0</v>
      </c>
      <c r="IV97" s="715"/>
      <c r="IW97" s="716"/>
      <c r="IX97" s="701" t="str">
        <f t="shared" si="502"/>
        <v/>
      </c>
      <c r="IY97" s="66">
        <f t="shared" si="477"/>
        <v>0</v>
      </c>
    </row>
    <row r="98" spans="45:259" ht="13.3" thickTop="1" thickBot="1" x14ac:dyDescent="0.35">
      <c r="AX98" s="2"/>
      <c r="AY98" s="33" t="s">
        <v>599</v>
      </c>
      <c r="BF98" s="1367"/>
      <c r="BX98" s="242"/>
      <c r="BY98" s="242"/>
      <c r="EB98" s="33"/>
      <c r="EC98" s="33"/>
      <c r="ED98" s="33"/>
      <c r="EF98" s="33"/>
      <c r="EG98" s="33"/>
      <c r="EH98" s="33"/>
      <c r="EI98" s="33"/>
      <c r="EJ98" s="33"/>
      <c r="EK98" s="33"/>
      <c r="EL98" s="33"/>
      <c r="EM98" s="33"/>
      <c r="EO98" s="33"/>
      <c r="EP98" s="33"/>
      <c r="EQ98" s="33"/>
      <c r="ET98" s="33"/>
      <c r="EU98" s="33"/>
      <c r="EV98" s="33"/>
      <c r="EW98" s="33">
        <v>16</v>
      </c>
      <c r="EY98" s="33"/>
      <c r="FC98" s="121" t="str">
        <f t="shared" si="450"/>
        <v/>
      </c>
      <c r="FD98" s="115" t="str">
        <f t="shared" si="530"/>
        <v/>
      </c>
      <c r="FE98" s="92">
        <f t="shared" si="452"/>
        <v>0</v>
      </c>
      <c r="FF98" s="711">
        <f t="shared" si="453"/>
        <v>0</v>
      </c>
      <c r="FG98" s="702">
        <f t="shared" si="453"/>
        <v>0</v>
      </c>
      <c r="FH98" s="19">
        <f t="shared" si="478"/>
        <v>0</v>
      </c>
      <c r="FI98" s="718"/>
      <c r="FJ98" s="701" t="str">
        <f t="shared" si="479"/>
        <v/>
      </c>
      <c r="FK98" s="66">
        <f t="shared" si="454"/>
        <v>0</v>
      </c>
      <c r="FL98" s="715"/>
      <c r="FM98" s="716"/>
      <c r="FN98" s="701" t="str">
        <f t="shared" si="480"/>
        <v/>
      </c>
      <c r="FO98" s="66">
        <f t="shared" si="455"/>
        <v>0</v>
      </c>
      <c r="FP98" s="715"/>
      <c r="FQ98" s="716"/>
      <c r="FR98" s="701" t="str">
        <f t="shared" si="481"/>
        <v/>
      </c>
      <c r="FS98" s="66">
        <f t="shared" si="456"/>
        <v>0</v>
      </c>
      <c r="FT98" s="715"/>
      <c r="FU98" s="716"/>
      <c r="FV98" s="701" t="str">
        <f t="shared" si="482"/>
        <v/>
      </c>
      <c r="FW98" s="66">
        <f t="shared" si="457"/>
        <v>0</v>
      </c>
      <c r="FX98" s="715"/>
      <c r="FY98" s="716"/>
      <c r="FZ98" s="701" t="str">
        <f t="shared" si="483"/>
        <v/>
      </c>
      <c r="GA98" s="66">
        <f t="shared" si="458"/>
        <v>0</v>
      </c>
      <c r="GB98" s="715"/>
      <c r="GC98" s="716"/>
      <c r="GD98" s="701" t="str">
        <f t="shared" si="484"/>
        <v/>
      </c>
      <c r="GE98" s="66">
        <f t="shared" si="459"/>
        <v>0</v>
      </c>
      <c r="GF98" s="715"/>
      <c r="GG98" s="716"/>
      <c r="GH98" s="701" t="str">
        <f t="shared" si="485"/>
        <v/>
      </c>
      <c r="GI98" s="66">
        <f t="shared" si="460"/>
        <v>0</v>
      </c>
      <c r="GJ98" s="715"/>
      <c r="GK98" s="716"/>
      <c r="GL98" s="701" t="str">
        <f t="shared" si="486"/>
        <v/>
      </c>
      <c r="GM98" s="66">
        <f t="shared" si="461"/>
        <v>0</v>
      </c>
      <c r="GN98" s="715"/>
      <c r="GO98" s="716"/>
      <c r="GP98" s="701" t="str">
        <f t="shared" si="487"/>
        <v/>
      </c>
      <c r="GQ98" s="66">
        <f t="shared" si="462"/>
        <v>0</v>
      </c>
      <c r="GR98" s="715"/>
      <c r="GS98" s="716"/>
      <c r="GT98" s="701" t="str">
        <f t="shared" si="488"/>
        <v/>
      </c>
      <c r="GU98" s="66">
        <f t="shared" si="463"/>
        <v>0</v>
      </c>
      <c r="GV98" s="715"/>
      <c r="GW98" s="716"/>
      <c r="GX98" s="701" t="str">
        <f t="shared" si="489"/>
        <v/>
      </c>
      <c r="GY98" s="66">
        <f t="shared" si="464"/>
        <v>0</v>
      </c>
      <c r="GZ98" s="715"/>
      <c r="HA98" s="716"/>
      <c r="HB98" s="701" t="str">
        <f t="shared" si="490"/>
        <v/>
      </c>
      <c r="HC98" s="66">
        <f t="shared" si="465"/>
        <v>0</v>
      </c>
      <c r="HD98" s="715"/>
      <c r="HE98" s="716"/>
      <c r="HF98" s="701" t="str">
        <f t="shared" si="491"/>
        <v/>
      </c>
      <c r="HG98" s="66">
        <f t="shared" si="466"/>
        <v>0</v>
      </c>
      <c r="HH98" s="715"/>
      <c r="HI98" s="716"/>
      <c r="HJ98" s="701" t="str">
        <f t="shared" si="492"/>
        <v/>
      </c>
      <c r="HK98" s="66">
        <f t="shared" si="467"/>
        <v>0</v>
      </c>
      <c r="HL98" s="715"/>
      <c r="HM98" s="716"/>
      <c r="HN98" s="701" t="str">
        <f t="shared" si="493"/>
        <v/>
      </c>
      <c r="HO98" s="66">
        <f t="shared" si="468"/>
        <v>0</v>
      </c>
      <c r="HP98" s="715"/>
      <c r="HQ98" s="716"/>
      <c r="HR98" s="701" t="str">
        <f t="shared" si="494"/>
        <v/>
      </c>
      <c r="HS98" s="66">
        <f t="shared" si="469"/>
        <v>0</v>
      </c>
      <c r="HT98" s="715"/>
      <c r="HU98" s="716"/>
      <c r="HV98" s="701" t="str">
        <f t="shared" si="495"/>
        <v/>
      </c>
      <c r="HW98" s="66">
        <f t="shared" si="470"/>
        <v>0</v>
      </c>
      <c r="HX98" s="715"/>
      <c r="HY98" s="716"/>
      <c r="HZ98" s="701" t="str">
        <f t="shared" si="496"/>
        <v/>
      </c>
      <c r="IA98" s="66">
        <f t="shared" si="471"/>
        <v>0</v>
      </c>
      <c r="IB98" s="715"/>
      <c r="IC98" s="716"/>
      <c r="ID98" s="701" t="str">
        <f t="shared" si="497"/>
        <v/>
      </c>
      <c r="IE98" s="66">
        <f t="shared" si="472"/>
        <v>0</v>
      </c>
      <c r="IF98" s="715"/>
      <c r="IG98" s="716"/>
      <c r="IH98" s="701" t="str">
        <f t="shared" si="498"/>
        <v/>
      </c>
      <c r="II98" s="66">
        <f t="shared" si="473"/>
        <v>0</v>
      </c>
      <c r="IJ98" s="715"/>
      <c r="IK98" s="716"/>
      <c r="IL98" s="701" t="str">
        <f t="shared" si="499"/>
        <v/>
      </c>
      <c r="IM98" s="66">
        <f t="shared" si="474"/>
        <v>0</v>
      </c>
      <c r="IN98" s="715"/>
      <c r="IO98" s="716"/>
      <c r="IP98" s="701" t="str">
        <f t="shared" si="500"/>
        <v/>
      </c>
      <c r="IQ98" s="66">
        <f t="shared" si="475"/>
        <v>0</v>
      </c>
      <c r="IR98" s="715"/>
      <c r="IS98" s="716"/>
      <c r="IT98" s="701" t="str">
        <f t="shared" si="501"/>
        <v/>
      </c>
      <c r="IU98" s="66">
        <f t="shared" si="476"/>
        <v>0</v>
      </c>
      <c r="IV98" s="715"/>
      <c r="IW98" s="716"/>
      <c r="IX98" s="701" t="str">
        <f t="shared" si="502"/>
        <v/>
      </c>
      <c r="IY98" s="66">
        <f t="shared" si="477"/>
        <v>0</v>
      </c>
    </row>
    <row r="99" spans="45:259" ht="13.5" customHeight="1" thickTop="1" thickBot="1" x14ac:dyDescent="0.55000000000000004">
      <c r="AW99" s="800" t="s">
        <v>336</v>
      </c>
      <c r="AX99" s="2"/>
      <c r="AY99" s="798" t="s">
        <v>486</v>
      </c>
      <c r="AZ99" s="505" t="s">
        <v>94</v>
      </c>
      <c r="BF99" s="1367"/>
      <c r="BH99" s="33"/>
      <c r="BX99" s="242"/>
      <c r="BY99" s="242"/>
      <c r="EB99" s="33"/>
      <c r="EC99" s="33"/>
      <c r="ED99" s="33"/>
      <c r="EF99" s="33"/>
      <c r="EG99" s="33"/>
      <c r="EH99" s="33"/>
      <c r="EI99" s="33"/>
      <c r="EJ99" s="33"/>
      <c r="EK99" s="33"/>
      <c r="EL99" s="33"/>
      <c r="EM99" s="33"/>
      <c r="EO99" s="33"/>
      <c r="EP99" s="33"/>
      <c r="EQ99" s="33"/>
      <c r="ET99" s="33"/>
      <c r="EU99" s="33"/>
      <c r="EV99" s="33"/>
      <c r="EW99" s="33">
        <v>17</v>
      </c>
      <c r="EY99" s="33"/>
      <c r="FC99" s="121" t="str">
        <f t="shared" si="450"/>
        <v/>
      </c>
      <c r="FD99" s="115" t="str">
        <f t="shared" si="530"/>
        <v/>
      </c>
      <c r="FE99" s="92">
        <f t="shared" si="452"/>
        <v>0</v>
      </c>
      <c r="FF99" s="711">
        <f t="shared" si="453"/>
        <v>0</v>
      </c>
      <c r="FG99" s="702">
        <f t="shared" si="453"/>
        <v>0</v>
      </c>
      <c r="FH99" s="19">
        <f t="shared" si="478"/>
        <v>0</v>
      </c>
      <c r="FI99" s="718"/>
      <c r="FJ99" s="701" t="str">
        <f t="shared" si="479"/>
        <v/>
      </c>
      <c r="FK99" s="66">
        <f t="shared" si="454"/>
        <v>0</v>
      </c>
      <c r="FL99" s="715"/>
      <c r="FM99" s="716"/>
      <c r="FN99" s="701" t="str">
        <f t="shared" si="480"/>
        <v/>
      </c>
      <c r="FO99" s="66">
        <f t="shared" si="455"/>
        <v>0</v>
      </c>
      <c r="FP99" s="715"/>
      <c r="FQ99" s="716"/>
      <c r="FR99" s="701" t="str">
        <f t="shared" si="481"/>
        <v/>
      </c>
      <c r="FS99" s="66">
        <f t="shared" si="456"/>
        <v>0</v>
      </c>
      <c r="FT99" s="715"/>
      <c r="FU99" s="716"/>
      <c r="FV99" s="701" t="str">
        <f t="shared" si="482"/>
        <v/>
      </c>
      <c r="FW99" s="66">
        <f t="shared" si="457"/>
        <v>0</v>
      </c>
      <c r="FX99" s="715"/>
      <c r="FY99" s="716"/>
      <c r="FZ99" s="701" t="str">
        <f t="shared" si="483"/>
        <v/>
      </c>
      <c r="GA99" s="66">
        <f t="shared" si="458"/>
        <v>0</v>
      </c>
      <c r="GB99" s="715"/>
      <c r="GC99" s="716"/>
      <c r="GD99" s="701" t="str">
        <f t="shared" si="484"/>
        <v/>
      </c>
      <c r="GE99" s="66">
        <f t="shared" si="459"/>
        <v>0</v>
      </c>
      <c r="GF99" s="715"/>
      <c r="GG99" s="716"/>
      <c r="GH99" s="701" t="str">
        <f t="shared" si="485"/>
        <v/>
      </c>
      <c r="GI99" s="66">
        <f t="shared" si="460"/>
        <v>0</v>
      </c>
      <c r="GJ99" s="715"/>
      <c r="GK99" s="716"/>
      <c r="GL99" s="701" t="str">
        <f t="shared" si="486"/>
        <v/>
      </c>
      <c r="GM99" s="66">
        <f t="shared" si="461"/>
        <v>0</v>
      </c>
      <c r="GN99" s="715"/>
      <c r="GO99" s="716"/>
      <c r="GP99" s="701" t="str">
        <f t="shared" si="487"/>
        <v/>
      </c>
      <c r="GQ99" s="66">
        <f t="shared" si="462"/>
        <v>0</v>
      </c>
      <c r="GR99" s="715"/>
      <c r="GS99" s="716"/>
      <c r="GT99" s="701" t="str">
        <f t="shared" si="488"/>
        <v/>
      </c>
      <c r="GU99" s="66">
        <f t="shared" si="463"/>
        <v>0</v>
      </c>
      <c r="GV99" s="715"/>
      <c r="GW99" s="716"/>
      <c r="GX99" s="701" t="str">
        <f t="shared" si="489"/>
        <v/>
      </c>
      <c r="GY99" s="66">
        <f t="shared" si="464"/>
        <v>0</v>
      </c>
      <c r="GZ99" s="715"/>
      <c r="HA99" s="716"/>
      <c r="HB99" s="701" t="str">
        <f t="shared" si="490"/>
        <v/>
      </c>
      <c r="HC99" s="66">
        <f t="shared" si="465"/>
        <v>0</v>
      </c>
      <c r="HD99" s="715"/>
      <c r="HE99" s="716"/>
      <c r="HF99" s="701" t="str">
        <f t="shared" si="491"/>
        <v/>
      </c>
      <c r="HG99" s="66">
        <f t="shared" si="466"/>
        <v>0</v>
      </c>
      <c r="HH99" s="715"/>
      <c r="HI99" s="716"/>
      <c r="HJ99" s="701" t="str">
        <f t="shared" si="492"/>
        <v/>
      </c>
      <c r="HK99" s="66">
        <f t="shared" si="467"/>
        <v>0</v>
      </c>
      <c r="HL99" s="715"/>
      <c r="HM99" s="716"/>
      <c r="HN99" s="701" t="str">
        <f t="shared" si="493"/>
        <v/>
      </c>
      <c r="HO99" s="66">
        <f t="shared" si="468"/>
        <v>0</v>
      </c>
      <c r="HP99" s="715"/>
      <c r="HQ99" s="716"/>
      <c r="HR99" s="701" t="str">
        <f t="shared" si="494"/>
        <v/>
      </c>
      <c r="HS99" s="66">
        <f t="shared" si="469"/>
        <v>0</v>
      </c>
      <c r="HT99" s="715"/>
      <c r="HU99" s="716"/>
      <c r="HV99" s="701" t="str">
        <f t="shared" si="495"/>
        <v/>
      </c>
      <c r="HW99" s="66">
        <f t="shared" si="470"/>
        <v>0</v>
      </c>
      <c r="HX99" s="715"/>
      <c r="HY99" s="716"/>
      <c r="HZ99" s="701" t="str">
        <f t="shared" si="496"/>
        <v/>
      </c>
      <c r="IA99" s="66">
        <f t="shared" si="471"/>
        <v>0</v>
      </c>
      <c r="IB99" s="715"/>
      <c r="IC99" s="716"/>
      <c r="ID99" s="701" t="str">
        <f t="shared" si="497"/>
        <v/>
      </c>
      <c r="IE99" s="66">
        <f t="shared" si="472"/>
        <v>0</v>
      </c>
      <c r="IF99" s="715"/>
      <c r="IG99" s="716"/>
      <c r="IH99" s="701" t="str">
        <f t="shared" si="498"/>
        <v/>
      </c>
      <c r="II99" s="66">
        <f t="shared" si="473"/>
        <v>0</v>
      </c>
      <c r="IJ99" s="715"/>
      <c r="IK99" s="716"/>
      <c r="IL99" s="701" t="str">
        <f t="shared" si="499"/>
        <v/>
      </c>
      <c r="IM99" s="66">
        <f t="shared" si="474"/>
        <v>0</v>
      </c>
      <c r="IN99" s="715"/>
      <c r="IO99" s="716"/>
      <c r="IP99" s="701" t="str">
        <f t="shared" si="500"/>
        <v/>
      </c>
      <c r="IQ99" s="66">
        <f t="shared" si="475"/>
        <v>0</v>
      </c>
      <c r="IR99" s="715"/>
      <c r="IS99" s="716"/>
      <c r="IT99" s="701" t="str">
        <f t="shared" si="501"/>
        <v/>
      </c>
      <c r="IU99" s="66">
        <f t="shared" si="476"/>
        <v>0</v>
      </c>
      <c r="IV99" s="715"/>
      <c r="IW99" s="716"/>
      <c r="IX99" s="701" t="str">
        <f t="shared" si="502"/>
        <v/>
      </c>
      <c r="IY99" s="66">
        <f t="shared" si="477"/>
        <v>0</v>
      </c>
    </row>
    <row r="100" spans="45:259" ht="13.3" thickTop="1" thickBot="1" x14ac:dyDescent="0.35">
      <c r="AW100" s="801" t="str">
        <f>BE24</f>
        <v>kPa</v>
      </c>
      <c r="AX100" s="2"/>
      <c r="AY100" s="519" t="str">
        <f>Q24</f>
        <v>l/min</v>
      </c>
      <c r="AZ100" s="478" t="s">
        <v>316</v>
      </c>
      <c r="BF100" s="1367"/>
      <c r="BX100" s="242"/>
      <c r="BY100" s="242"/>
      <c r="EB100" s="33"/>
      <c r="EC100" s="33"/>
      <c r="ED100" s="33"/>
      <c r="EF100" s="33"/>
      <c r="EG100" s="33"/>
      <c r="EH100" s="33"/>
      <c r="EI100" s="33"/>
      <c r="EJ100" s="33"/>
      <c r="EK100" s="33"/>
      <c r="EL100" s="33"/>
      <c r="EM100" s="33"/>
      <c r="EO100" s="33"/>
      <c r="EP100" s="33"/>
      <c r="EQ100" s="33"/>
      <c r="ET100" s="33"/>
      <c r="EU100" s="33"/>
      <c r="EV100" s="33"/>
      <c r="EW100" s="33">
        <v>18</v>
      </c>
      <c r="EY100" s="33"/>
      <c r="FC100" s="121" t="str">
        <f t="shared" si="450"/>
        <v/>
      </c>
      <c r="FD100" s="115" t="str">
        <f t="shared" si="530"/>
        <v/>
      </c>
      <c r="FE100" s="92">
        <f t="shared" si="452"/>
        <v>0</v>
      </c>
      <c r="FF100" s="711">
        <f t="shared" si="453"/>
        <v>0</v>
      </c>
      <c r="FG100" s="702">
        <f t="shared" si="453"/>
        <v>0</v>
      </c>
      <c r="FH100" s="19">
        <f t="shared" si="478"/>
        <v>0</v>
      </c>
      <c r="FI100" s="718"/>
      <c r="FJ100" s="701" t="str">
        <f t="shared" si="479"/>
        <v/>
      </c>
      <c r="FK100" s="66">
        <f t="shared" si="454"/>
        <v>0</v>
      </c>
      <c r="FL100" s="715"/>
      <c r="FM100" s="716"/>
      <c r="FN100" s="701" t="str">
        <f t="shared" si="480"/>
        <v/>
      </c>
      <c r="FO100" s="66">
        <f t="shared" si="455"/>
        <v>0</v>
      </c>
      <c r="FP100" s="715"/>
      <c r="FQ100" s="716"/>
      <c r="FR100" s="701" t="str">
        <f t="shared" si="481"/>
        <v/>
      </c>
      <c r="FS100" s="66">
        <f t="shared" si="456"/>
        <v>0</v>
      </c>
      <c r="FT100" s="715"/>
      <c r="FU100" s="716"/>
      <c r="FV100" s="701" t="str">
        <f t="shared" si="482"/>
        <v/>
      </c>
      <c r="FW100" s="66">
        <f t="shared" si="457"/>
        <v>0</v>
      </c>
      <c r="FX100" s="715"/>
      <c r="FY100" s="716"/>
      <c r="FZ100" s="701" t="str">
        <f t="shared" si="483"/>
        <v/>
      </c>
      <c r="GA100" s="66">
        <f t="shared" si="458"/>
        <v>0</v>
      </c>
      <c r="GB100" s="715"/>
      <c r="GC100" s="716"/>
      <c r="GD100" s="701" t="str">
        <f t="shared" si="484"/>
        <v/>
      </c>
      <c r="GE100" s="66">
        <f t="shared" si="459"/>
        <v>0</v>
      </c>
      <c r="GF100" s="715"/>
      <c r="GG100" s="716"/>
      <c r="GH100" s="701" t="str">
        <f t="shared" si="485"/>
        <v/>
      </c>
      <c r="GI100" s="66">
        <f t="shared" si="460"/>
        <v>0</v>
      </c>
      <c r="GJ100" s="715"/>
      <c r="GK100" s="716"/>
      <c r="GL100" s="701" t="str">
        <f t="shared" si="486"/>
        <v/>
      </c>
      <c r="GM100" s="66">
        <f t="shared" si="461"/>
        <v>0</v>
      </c>
      <c r="GN100" s="715"/>
      <c r="GO100" s="716"/>
      <c r="GP100" s="701" t="str">
        <f t="shared" si="487"/>
        <v/>
      </c>
      <c r="GQ100" s="66">
        <f t="shared" si="462"/>
        <v>0</v>
      </c>
      <c r="GR100" s="715"/>
      <c r="GS100" s="716"/>
      <c r="GT100" s="701" t="str">
        <f t="shared" si="488"/>
        <v/>
      </c>
      <c r="GU100" s="66">
        <f t="shared" si="463"/>
        <v>0</v>
      </c>
      <c r="GV100" s="715"/>
      <c r="GW100" s="716"/>
      <c r="GX100" s="701" t="str">
        <f t="shared" si="489"/>
        <v/>
      </c>
      <c r="GY100" s="66">
        <f t="shared" si="464"/>
        <v>0</v>
      </c>
      <c r="GZ100" s="715"/>
      <c r="HA100" s="716"/>
      <c r="HB100" s="701" t="str">
        <f t="shared" si="490"/>
        <v/>
      </c>
      <c r="HC100" s="66">
        <f t="shared" si="465"/>
        <v>0</v>
      </c>
      <c r="HD100" s="715"/>
      <c r="HE100" s="716"/>
      <c r="HF100" s="701" t="str">
        <f t="shared" si="491"/>
        <v/>
      </c>
      <c r="HG100" s="66">
        <f t="shared" si="466"/>
        <v>0</v>
      </c>
      <c r="HH100" s="715"/>
      <c r="HI100" s="716"/>
      <c r="HJ100" s="701" t="str">
        <f t="shared" si="492"/>
        <v/>
      </c>
      <c r="HK100" s="66">
        <f t="shared" si="467"/>
        <v>0</v>
      </c>
      <c r="HL100" s="715"/>
      <c r="HM100" s="716"/>
      <c r="HN100" s="701" t="str">
        <f t="shared" si="493"/>
        <v/>
      </c>
      <c r="HO100" s="66">
        <f t="shared" si="468"/>
        <v>0</v>
      </c>
      <c r="HP100" s="715"/>
      <c r="HQ100" s="716"/>
      <c r="HR100" s="701" t="str">
        <f t="shared" si="494"/>
        <v/>
      </c>
      <c r="HS100" s="66">
        <f t="shared" si="469"/>
        <v>0</v>
      </c>
      <c r="HT100" s="715"/>
      <c r="HU100" s="716"/>
      <c r="HV100" s="701" t="str">
        <f t="shared" si="495"/>
        <v/>
      </c>
      <c r="HW100" s="66">
        <f t="shared" si="470"/>
        <v>0</v>
      </c>
      <c r="HX100" s="715"/>
      <c r="HY100" s="716"/>
      <c r="HZ100" s="701" t="str">
        <f t="shared" si="496"/>
        <v/>
      </c>
      <c r="IA100" s="66">
        <f t="shared" si="471"/>
        <v>0</v>
      </c>
      <c r="IB100" s="715"/>
      <c r="IC100" s="716"/>
      <c r="ID100" s="701" t="str">
        <f t="shared" si="497"/>
        <v/>
      </c>
      <c r="IE100" s="66">
        <f t="shared" si="472"/>
        <v>0</v>
      </c>
      <c r="IF100" s="715"/>
      <c r="IG100" s="716"/>
      <c r="IH100" s="701" t="str">
        <f t="shared" si="498"/>
        <v/>
      </c>
      <c r="II100" s="66">
        <f t="shared" si="473"/>
        <v>0</v>
      </c>
      <c r="IJ100" s="715"/>
      <c r="IK100" s="716"/>
      <c r="IL100" s="701" t="str">
        <f t="shared" si="499"/>
        <v/>
      </c>
      <c r="IM100" s="66">
        <f t="shared" si="474"/>
        <v>0</v>
      </c>
      <c r="IN100" s="715"/>
      <c r="IO100" s="716"/>
      <c r="IP100" s="701" t="str">
        <f t="shared" si="500"/>
        <v/>
      </c>
      <c r="IQ100" s="66">
        <f t="shared" si="475"/>
        <v>0</v>
      </c>
      <c r="IR100" s="715"/>
      <c r="IS100" s="716"/>
      <c r="IT100" s="701" t="str">
        <f t="shared" si="501"/>
        <v/>
      </c>
      <c r="IU100" s="66">
        <f t="shared" si="476"/>
        <v>0</v>
      </c>
      <c r="IV100" s="715"/>
      <c r="IW100" s="716"/>
      <c r="IX100" s="701" t="str">
        <f t="shared" si="502"/>
        <v/>
      </c>
      <c r="IY100" s="66">
        <f t="shared" si="477"/>
        <v>0</v>
      </c>
    </row>
    <row r="101" spans="45:259" ht="13.3" thickTop="1" thickBot="1" x14ac:dyDescent="0.35">
      <c r="AW101" s="1"/>
      <c r="AX101" s="2"/>
      <c r="AZ101" s="813">
        <f>N24</f>
        <v>0</v>
      </c>
      <c r="BF101" s="1367"/>
      <c r="BH101" s="33"/>
      <c r="BX101" s="242"/>
      <c r="BY101" s="242"/>
      <c r="EB101" s="33"/>
      <c r="EC101" s="33"/>
      <c r="ED101" s="33"/>
      <c r="EF101" s="33"/>
      <c r="EG101" s="33"/>
      <c r="EH101" s="33"/>
      <c r="EI101" s="33"/>
      <c r="EJ101" s="33"/>
      <c r="EK101" s="33"/>
      <c r="EL101" s="33"/>
      <c r="EM101" s="33"/>
      <c r="EO101" s="33"/>
      <c r="EP101" s="33"/>
      <c r="EQ101" s="33"/>
      <c r="ET101" s="33"/>
      <c r="EU101" s="33"/>
      <c r="EV101" s="33"/>
      <c r="EW101" s="33">
        <v>19</v>
      </c>
      <c r="EY101" s="33"/>
      <c r="FC101" s="121" t="str">
        <f t="shared" si="450"/>
        <v/>
      </c>
      <c r="FD101" s="115" t="str">
        <f t="shared" si="530"/>
        <v/>
      </c>
      <c r="FE101" s="92">
        <f t="shared" si="452"/>
        <v>0</v>
      </c>
      <c r="FF101" s="711">
        <f t="shared" si="453"/>
        <v>0</v>
      </c>
      <c r="FG101" s="702">
        <f t="shared" si="453"/>
        <v>0</v>
      </c>
      <c r="FH101" s="19">
        <f t="shared" si="478"/>
        <v>0</v>
      </c>
      <c r="FI101" s="718"/>
      <c r="FJ101" s="701" t="str">
        <f t="shared" si="479"/>
        <v/>
      </c>
      <c r="FK101" s="66">
        <f t="shared" si="454"/>
        <v>0</v>
      </c>
      <c r="FL101" s="715"/>
      <c r="FM101" s="716"/>
      <c r="FN101" s="701" t="str">
        <f t="shared" si="480"/>
        <v/>
      </c>
      <c r="FO101" s="66">
        <f t="shared" si="455"/>
        <v>0</v>
      </c>
      <c r="FP101" s="715"/>
      <c r="FQ101" s="716"/>
      <c r="FR101" s="701" t="str">
        <f t="shared" si="481"/>
        <v/>
      </c>
      <c r="FS101" s="66">
        <f t="shared" si="456"/>
        <v>0</v>
      </c>
      <c r="FT101" s="715"/>
      <c r="FU101" s="716"/>
      <c r="FV101" s="701" t="str">
        <f t="shared" si="482"/>
        <v/>
      </c>
      <c r="FW101" s="66">
        <f t="shared" si="457"/>
        <v>0</v>
      </c>
      <c r="FX101" s="715"/>
      <c r="FY101" s="716"/>
      <c r="FZ101" s="701" t="str">
        <f t="shared" si="483"/>
        <v/>
      </c>
      <c r="GA101" s="66">
        <f t="shared" si="458"/>
        <v>0</v>
      </c>
      <c r="GB101" s="715"/>
      <c r="GC101" s="716"/>
      <c r="GD101" s="701" t="str">
        <f t="shared" si="484"/>
        <v/>
      </c>
      <c r="GE101" s="66">
        <f t="shared" si="459"/>
        <v>0</v>
      </c>
      <c r="GF101" s="715"/>
      <c r="GG101" s="716"/>
      <c r="GH101" s="701" t="str">
        <f t="shared" si="485"/>
        <v/>
      </c>
      <c r="GI101" s="66">
        <f t="shared" si="460"/>
        <v>0</v>
      </c>
      <c r="GJ101" s="715"/>
      <c r="GK101" s="716"/>
      <c r="GL101" s="701" t="str">
        <f t="shared" si="486"/>
        <v/>
      </c>
      <c r="GM101" s="66">
        <f t="shared" si="461"/>
        <v>0</v>
      </c>
      <c r="GN101" s="715"/>
      <c r="GO101" s="716"/>
      <c r="GP101" s="701" t="str">
        <f t="shared" si="487"/>
        <v/>
      </c>
      <c r="GQ101" s="66">
        <f t="shared" si="462"/>
        <v>0</v>
      </c>
      <c r="GR101" s="715"/>
      <c r="GS101" s="716"/>
      <c r="GT101" s="701" t="str">
        <f t="shared" si="488"/>
        <v/>
      </c>
      <c r="GU101" s="66">
        <f t="shared" si="463"/>
        <v>0</v>
      </c>
      <c r="GV101" s="715"/>
      <c r="GW101" s="716"/>
      <c r="GX101" s="701" t="str">
        <f t="shared" si="489"/>
        <v/>
      </c>
      <c r="GY101" s="66">
        <f t="shared" si="464"/>
        <v>0</v>
      </c>
      <c r="GZ101" s="715"/>
      <c r="HA101" s="716"/>
      <c r="HB101" s="701" t="str">
        <f t="shared" si="490"/>
        <v/>
      </c>
      <c r="HC101" s="66">
        <f t="shared" si="465"/>
        <v>0</v>
      </c>
      <c r="HD101" s="715"/>
      <c r="HE101" s="716"/>
      <c r="HF101" s="701" t="str">
        <f t="shared" si="491"/>
        <v/>
      </c>
      <c r="HG101" s="66">
        <f t="shared" si="466"/>
        <v>0</v>
      </c>
      <c r="HH101" s="715"/>
      <c r="HI101" s="716"/>
      <c r="HJ101" s="701" t="str">
        <f t="shared" si="492"/>
        <v/>
      </c>
      <c r="HK101" s="66">
        <f t="shared" si="467"/>
        <v>0</v>
      </c>
      <c r="HL101" s="715"/>
      <c r="HM101" s="716"/>
      <c r="HN101" s="701" t="str">
        <f t="shared" si="493"/>
        <v/>
      </c>
      <c r="HO101" s="66">
        <f t="shared" si="468"/>
        <v>0</v>
      </c>
      <c r="HP101" s="715"/>
      <c r="HQ101" s="716"/>
      <c r="HR101" s="701" t="str">
        <f t="shared" si="494"/>
        <v/>
      </c>
      <c r="HS101" s="66">
        <f t="shared" si="469"/>
        <v>0</v>
      </c>
      <c r="HT101" s="715"/>
      <c r="HU101" s="716"/>
      <c r="HV101" s="701" t="str">
        <f t="shared" si="495"/>
        <v/>
      </c>
      <c r="HW101" s="66">
        <f t="shared" si="470"/>
        <v>0</v>
      </c>
      <c r="HX101" s="715"/>
      <c r="HY101" s="716"/>
      <c r="HZ101" s="701" t="str">
        <f t="shared" si="496"/>
        <v/>
      </c>
      <c r="IA101" s="66">
        <f t="shared" si="471"/>
        <v>0</v>
      </c>
      <c r="IB101" s="715"/>
      <c r="IC101" s="716"/>
      <c r="ID101" s="701" t="str">
        <f t="shared" si="497"/>
        <v/>
      </c>
      <c r="IE101" s="66">
        <f t="shared" si="472"/>
        <v>0</v>
      </c>
      <c r="IF101" s="715"/>
      <c r="IG101" s="716"/>
      <c r="IH101" s="701" t="str">
        <f t="shared" si="498"/>
        <v/>
      </c>
      <c r="II101" s="66">
        <f t="shared" si="473"/>
        <v>0</v>
      </c>
      <c r="IJ101" s="715"/>
      <c r="IK101" s="716"/>
      <c r="IL101" s="701" t="str">
        <f t="shared" si="499"/>
        <v/>
      </c>
      <c r="IM101" s="66">
        <f t="shared" si="474"/>
        <v>0</v>
      </c>
      <c r="IN101" s="715"/>
      <c r="IO101" s="716"/>
      <c r="IP101" s="701" t="str">
        <f t="shared" si="500"/>
        <v/>
      </c>
      <c r="IQ101" s="66">
        <f t="shared" si="475"/>
        <v>0</v>
      </c>
      <c r="IR101" s="715"/>
      <c r="IS101" s="716"/>
      <c r="IT101" s="701" t="str">
        <f t="shared" si="501"/>
        <v/>
      </c>
      <c r="IU101" s="66">
        <f t="shared" si="476"/>
        <v>0</v>
      </c>
      <c r="IV101" s="715"/>
      <c r="IW101" s="716"/>
      <c r="IX101" s="701" t="str">
        <f t="shared" si="502"/>
        <v/>
      </c>
      <c r="IY101" s="66">
        <f t="shared" si="477"/>
        <v>0</v>
      </c>
    </row>
    <row r="102" spans="45:259" ht="13.3" thickTop="1" thickBot="1" x14ac:dyDescent="0.35">
      <c r="AU102" s="799" t="str">
        <f t="shared" ref="AU102:AU111" si="531">FB80</f>
        <v/>
      </c>
      <c r="AV102" s="1" t="str">
        <f t="shared" ref="AV102:AV111" si="532">IF(AU102="","",MATCH(AU102,$F$25:$F$49,0))</f>
        <v/>
      </c>
      <c r="AW102" s="678" t="str">
        <f t="shared" ref="AW102:AW111" si="533">IF(AU102="","",LOOKUP(AV102,$DN$25:$DN$49,$AC$25:$AC$49))</f>
        <v/>
      </c>
      <c r="AX102" s="802" t="str">
        <f>IF(OR(AY102="",AY102=0),"",AY102/$N$23)</f>
        <v/>
      </c>
      <c r="AY102" s="41" t="str">
        <f>IF(AW102="","",$B$17*$AZ$101*SQRT(AW102*(1/$B$18)*(1/100)))</f>
        <v/>
      </c>
      <c r="AZ102" s="770" t="str">
        <f>IF($FC$53=0,"",1)</f>
        <v/>
      </c>
      <c r="BX102" s="242"/>
      <c r="BY102" s="242"/>
      <c r="DS102" s="33"/>
      <c r="DT102" s="33"/>
      <c r="DU102" s="33"/>
      <c r="DV102" s="33"/>
      <c r="DW102" s="33"/>
      <c r="DX102" s="33"/>
      <c r="DY102" s="33"/>
      <c r="EB102" s="33"/>
      <c r="EC102" s="33"/>
      <c r="ED102" s="33"/>
      <c r="EF102" s="33"/>
      <c r="EG102" s="33"/>
      <c r="EH102" s="33"/>
      <c r="EI102" s="33"/>
      <c r="EJ102" s="33"/>
      <c r="EK102" s="33"/>
      <c r="EL102" s="33"/>
      <c r="EM102" s="33"/>
      <c r="EO102" s="33"/>
      <c r="EP102" s="33"/>
      <c r="EQ102" s="33"/>
      <c r="ET102" s="33"/>
      <c r="EU102" s="33"/>
      <c r="EV102" s="33"/>
      <c r="EW102" s="33">
        <v>20</v>
      </c>
      <c r="EY102" s="33"/>
      <c r="FC102" s="121" t="str">
        <f t="shared" si="450"/>
        <v/>
      </c>
      <c r="FD102" s="115" t="str">
        <f t="shared" si="530"/>
        <v/>
      </c>
      <c r="FE102" s="92">
        <f t="shared" si="452"/>
        <v>0</v>
      </c>
      <c r="FF102" s="711">
        <f t="shared" si="453"/>
        <v>0</v>
      </c>
      <c r="FG102" s="702">
        <f t="shared" si="453"/>
        <v>0</v>
      </c>
      <c r="FH102" s="19">
        <f t="shared" si="478"/>
        <v>0</v>
      </c>
      <c r="FI102" s="718"/>
      <c r="FJ102" s="701" t="str">
        <f t="shared" si="479"/>
        <v/>
      </c>
      <c r="FK102" s="66">
        <f t="shared" si="454"/>
        <v>0</v>
      </c>
      <c r="FL102" s="715"/>
      <c r="FM102" s="716"/>
      <c r="FN102" s="701" t="str">
        <f t="shared" si="480"/>
        <v/>
      </c>
      <c r="FO102" s="66">
        <f t="shared" si="455"/>
        <v>0</v>
      </c>
      <c r="FP102" s="715"/>
      <c r="FQ102" s="716"/>
      <c r="FR102" s="701" t="str">
        <f t="shared" si="481"/>
        <v/>
      </c>
      <c r="FS102" s="66">
        <f t="shared" si="456"/>
        <v>0</v>
      </c>
      <c r="FT102" s="715"/>
      <c r="FU102" s="716"/>
      <c r="FV102" s="701" t="str">
        <f t="shared" si="482"/>
        <v/>
      </c>
      <c r="FW102" s="66">
        <f t="shared" si="457"/>
        <v>0</v>
      </c>
      <c r="FX102" s="715"/>
      <c r="FY102" s="716"/>
      <c r="FZ102" s="701" t="str">
        <f t="shared" si="483"/>
        <v/>
      </c>
      <c r="GA102" s="66">
        <f t="shared" si="458"/>
        <v>0</v>
      </c>
      <c r="GB102" s="715"/>
      <c r="GC102" s="716"/>
      <c r="GD102" s="701" t="str">
        <f t="shared" si="484"/>
        <v/>
      </c>
      <c r="GE102" s="66">
        <f t="shared" si="459"/>
        <v>0</v>
      </c>
      <c r="GF102" s="715"/>
      <c r="GG102" s="716"/>
      <c r="GH102" s="701" t="str">
        <f t="shared" si="485"/>
        <v/>
      </c>
      <c r="GI102" s="66">
        <f t="shared" si="460"/>
        <v>0</v>
      </c>
      <c r="GJ102" s="715"/>
      <c r="GK102" s="716"/>
      <c r="GL102" s="701" t="str">
        <f t="shared" si="486"/>
        <v/>
      </c>
      <c r="GM102" s="66">
        <f t="shared" si="461"/>
        <v>0</v>
      </c>
      <c r="GN102" s="715"/>
      <c r="GO102" s="716"/>
      <c r="GP102" s="701" t="str">
        <f t="shared" si="487"/>
        <v/>
      </c>
      <c r="GQ102" s="66">
        <f t="shared" si="462"/>
        <v>0</v>
      </c>
      <c r="GR102" s="715"/>
      <c r="GS102" s="716"/>
      <c r="GT102" s="701" t="str">
        <f t="shared" si="488"/>
        <v/>
      </c>
      <c r="GU102" s="66">
        <f t="shared" si="463"/>
        <v>0</v>
      </c>
      <c r="GV102" s="715"/>
      <c r="GW102" s="716"/>
      <c r="GX102" s="701" t="str">
        <f t="shared" si="489"/>
        <v/>
      </c>
      <c r="GY102" s="66">
        <f t="shared" si="464"/>
        <v>0</v>
      </c>
      <c r="GZ102" s="715"/>
      <c r="HA102" s="716"/>
      <c r="HB102" s="701" t="str">
        <f t="shared" si="490"/>
        <v/>
      </c>
      <c r="HC102" s="66">
        <f t="shared" si="465"/>
        <v>0</v>
      </c>
      <c r="HD102" s="715"/>
      <c r="HE102" s="716"/>
      <c r="HF102" s="701" t="str">
        <f t="shared" si="491"/>
        <v/>
      </c>
      <c r="HG102" s="66">
        <f t="shared" si="466"/>
        <v>0</v>
      </c>
      <c r="HH102" s="715"/>
      <c r="HI102" s="716"/>
      <c r="HJ102" s="701" t="str">
        <f t="shared" si="492"/>
        <v/>
      </c>
      <c r="HK102" s="66">
        <f t="shared" si="467"/>
        <v>0</v>
      </c>
      <c r="HL102" s="715"/>
      <c r="HM102" s="716"/>
      <c r="HN102" s="701" t="str">
        <f t="shared" si="493"/>
        <v/>
      </c>
      <c r="HO102" s="66">
        <f t="shared" si="468"/>
        <v>0</v>
      </c>
      <c r="HP102" s="715"/>
      <c r="HQ102" s="716"/>
      <c r="HR102" s="701" t="str">
        <f t="shared" si="494"/>
        <v/>
      </c>
      <c r="HS102" s="66">
        <f t="shared" si="469"/>
        <v>0</v>
      </c>
      <c r="HT102" s="715"/>
      <c r="HU102" s="716"/>
      <c r="HV102" s="701" t="str">
        <f t="shared" si="495"/>
        <v/>
      </c>
      <c r="HW102" s="66">
        <f t="shared" si="470"/>
        <v>0</v>
      </c>
      <c r="HX102" s="715"/>
      <c r="HY102" s="716"/>
      <c r="HZ102" s="701" t="str">
        <f t="shared" si="496"/>
        <v/>
      </c>
      <c r="IA102" s="66">
        <f t="shared" si="471"/>
        <v>0</v>
      </c>
      <c r="IB102" s="715"/>
      <c r="IC102" s="716"/>
      <c r="ID102" s="701" t="str">
        <f t="shared" si="497"/>
        <v/>
      </c>
      <c r="IE102" s="66">
        <f t="shared" si="472"/>
        <v>0</v>
      </c>
      <c r="IF102" s="715"/>
      <c r="IG102" s="716"/>
      <c r="IH102" s="701" t="str">
        <f t="shared" si="498"/>
        <v/>
      </c>
      <c r="II102" s="66">
        <f t="shared" si="473"/>
        <v>0</v>
      </c>
      <c r="IJ102" s="715"/>
      <c r="IK102" s="716"/>
      <c r="IL102" s="701" t="str">
        <f t="shared" si="499"/>
        <v/>
      </c>
      <c r="IM102" s="66">
        <f t="shared" si="474"/>
        <v>0</v>
      </c>
      <c r="IN102" s="715"/>
      <c r="IO102" s="716"/>
      <c r="IP102" s="701" t="str">
        <f t="shared" si="500"/>
        <v/>
      </c>
      <c r="IQ102" s="66">
        <f t="shared" si="475"/>
        <v>0</v>
      </c>
      <c r="IR102" s="715"/>
      <c r="IS102" s="716"/>
      <c r="IT102" s="701" t="str">
        <f t="shared" si="501"/>
        <v/>
      </c>
      <c r="IU102" s="66">
        <f t="shared" si="476"/>
        <v>0</v>
      </c>
      <c r="IV102" s="715"/>
      <c r="IW102" s="716"/>
      <c r="IX102" s="701" t="str">
        <f t="shared" si="502"/>
        <v/>
      </c>
      <c r="IY102" s="66">
        <f t="shared" si="477"/>
        <v>0</v>
      </c>
    </row>
    <row r="103" spans="45:259" ht="13.3" thickTop="1" thickBot="1" x14ac:dyDescent="0.35">
      <c r="AT103" s="290" t="str" cm="1">
        <f t="array" ref="AT103">IF(AV103="","",INDEX(A$25:$A$49,AV103))</f>
        <v/>
      </c>
      <c r="AU103" s="799" t="str">
        <f t="shared" si="531"/>
        <v/>
      </c>
      <c r="AV103" s="1" t="str">
        <f t="shared" si="532"/>
        <v/>
      </c>
      <c r="AW103" s="678" t="str">
        <f t="shared" si="533"/>
        <v/>
      </c>
      <c r="AX103" s="802" t="str">
        <f t="shared" ref="AX103:AX111" si="534">IF(OR(AY103="",AY103=0),"",AY103/$N$23)</f>
        <v/>
      </c>
      <c r="AY103" s="41" t="str">
        <f t="shared" ref="AY103:AY111" si="535">IF(AW103="","",$B$17*$AZ$101*SQRT(AW103*(1/$B$18)*(1/100)))</f>
        <v/>
      </c>
      <c r="AZ103" s="770" t="str">
        <f t="shared" ref="AZ103:AZ111" si="536">IF($FC$53=0,"",IF(AZ102&lt;$FC$53,AZ102+1,IF(AZ102=$FC$53,"","")))</f>
        <v/>
      </c>
      <c r="BX103" s="242"/>
      <c r="BY103" s="242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F103" s="33"/>
      <c r="EG103" s="33"/>
      <c r="EH103" s="33"/>
      <c r="EI103" s="33"/>
      <c r="EJ103" s="33"/>
      <c r="EK103" s="33"/>
      <c r="EL103" s="33"/>
      <c r="EM103" s="33"/>
      <c r="EO103" s="33"/>
      <c r="EP103" s="33"/>
      <c r="EQ103" s="33"/>
      <c r="ET103" s="33"/>
      <c r="EU103" s="33"/>
      <c r="EV103" s="33"/>
      <c r="EW103" s="33">
        <v>21</v>
      </c>
      <c r="EY103" s="33"/>
      <c r="FC103" s="121" t="str">
        <f t="shared" si="450"/>
        <v/>
      </c>
      <c r="FD103" s="115" t="str">
        <f t="shared" si="530"/>
        <v/>
      </c>
      <c r="FE103" s="92">
        <f t="shared" si="452"/>
        <v>0</v>
      </c>
      <c r="FF103" s="711">
        <f t="shared" ref="FF103:FG107" si="537">FF45</f>
        <v>0</v>
      </c>
      <c r="FG103" s="702">
        <f t="shared" si="537"/>
        <v>0</v>
      </c>
      <c r="FH103" s="19">
        <f t="shared" si="478"/>
        <v>0</v>
      </c>
      <c r="FI103" s="718"/>
      <c r="FJ103" s="701" t="str">
        <f t="shared" si="479"/>
        <v/>
      </c>
      <c r="FK103" s="66">
        <f t="shared" si="454"/>
        <v>0</v>
      </c>
      <c r="FL103" s="715"/>
      <c r="FM103" s="716"/>
      <c r="FN103" s="701" t="str">
        <f t="shared" si="480"/>
        <v/>
      </c>
      <c r="FO103" s="66">
        <f t="shared" si="455"/>
        <v>0</v>
      </c>
      <c r="FP103" s="715"/>
      <c r="FQ103" s="716"/>
      <c r="FR103" s="701" t="str">
        <f t="shared" si="481"/>
        <v/>
      </c>
      <c r="FS103" s="66">
        <f t="shared" si="456"/>
        <v>0</v>
      </c>
      <c r="FT103" s="715"/>
      <c r="FU103" s="716"/>
      <c r="FV103" s="701" t="str">
        <f t="shared" si="482"/>
        <v/>
      </c>
      <c r="FW103" s="66">
        <f t="shared" si="457"/>
        <v>0</v>
      </c>
      <c r="FX103" s="715"/>
      <c r="FY103" s="716"/>
      <c r="FZ103" s="701" t="str">
        <f t="shared" si="483"/>
        <v/>
      </c>
      <c r="GA103" s="66">
        <f t="shared" si="458"/>
        <v>0</v>
      </c>
      <c r="GB103" s="715"/>
      <c r="GC103" s="716"/>
      <c r="GD103" s="701" t="str">
        <f t="shared" si="484"/>
        <v/>
      </c>
      <c r="GE103" s="66">
        <f t="shared" si="459"/>
        <v>0</v>
      </c>
      <c r="GF103" s="715"/>
      <c r="GG103" s="716"/>
      <c r="GH103" s="701" t="str">
        <f t="shared" si="485"/>
        <v/>
      </c>
      <c r="GI103" s="66">
        <f t="shared" si="460"/>
        <v>0</v>
      </c>
      <c r="GJ103" s="715"/>
      <c r="GK103" s="716"/>
      <c r="GL103" s="701" t="str">
        <f t="shared" si="486"/>
        <v/>
      </c>
      <c r="GM103" s="66">
        <f t="shared" si="461"/>
        <v>0</v>
      </c>
      <c r="GN103" s="715"/>
      <c r="GO103" s="716"/>
      <c r="GP103" s="701" t="str">
        <f t="shared" si="487"/>
        <v/>
      </c>
      <c r="GQ103" s="66">
        <f t="shared" si="462"/>
        <v>0</v>
      </c>
      <c r="GR103" s="715"/>
      <c r="GS103" s="716"/>
      <c r="GT103" s="701" t="str">
        <f t="shared" si="488"/>
        <v/>
      </c>
      <c r="GU103" s="66">
        <f t="shared" si="463"/>
        <v>0</v>
      </c>
      <c r="GV103" s="715"/>
      <c r="GW103" s="716"/>
      <c r="GX103" s="701" t="str">
        <f t="shared" si="489"/>
        <v/>
      </c>
      <c r="GY103" s="66">
        <f t="shared" si="464"/>
        <v>0</v>
      </c>
      <c r="GZ103" s="715"/>
      <c r="HA103" s="716"/>
      <c r="HB103" s="701" t="str">
        <f t="shared" si="490"/>
        <v/>
      </c>
      <c r="HC103" s="66">
        <f t="shared" si="465"/>
        <v>0</v>
      </c>
      <c r="HD103" s="715"/>
      <c r="HE103" s="716"/>
      <c r="HF103" s="701" t="str">
        <f t="shared" si="491"/>
        <v/>
      </c>
      <c r="HG103" s="66">
        <f t="shared" si="466"/>
        <v>0</v>
      </c>
      <c r="HH103" s="715"/>
      <c r="HI103" s="716"/>
      <c r="HJ103" s="701" t="str">
        <f t="shared" si="492"/>
        <v/>
      </c>
      <c r="HK103" s="66">
        <f t="shared" si="467"/>
        <v>0</v>
      </c>
      <c r="HL103" s="715"/>
      <c r="HM103" s="716"/>
      <c r="HN103" s="701" t="str">
        <f t="shared" si="493"/>
        <v/>
      </c>
      <c r="HO103" s="66">
        <f t="shared" si="468"/>
        <v>0</v>
      </c>
      <c r="HP103" s="715"/>
      <c r="HQ103" s="716"/>
      <c r="HR103" s="701" t="str">
        <f t="shared" si="494"/>
        <v/>
      </c>
      <c r="HS103" s="66">
        <f t="shared" si="469"/>
        <v>0</v>
      </c>
      <c r="HT103" s="715"/>
      <c r="HU103" s="716"/>
      <c r="HV103" s="701" t="str">
        <f t="shared" si="495"/>
        <v/>
      </c>
      <c r="HW103" s="66">
        <f t="shared" si="470"/>
        <v>0</v>
      </c>
      <c r="HX103" s="715"/>
      <c r="HY103" s="716"/>
      <c r="HZ103" s="701" t="str">
        <f t="shared" si="496"/>
        <v/>
      </c>
      <c r="IA103" s="66">
        <f t="shared" si="471"/>
        <v>0</v>
      </c>
      <c r="IB103" s="715"/>
      <c r="IC103" s="716"/>
      <c r="ID103" s="701" t="str">
        <f t="shared" si="497"/>
        <v/>
      </c>
      <c r="IE103" s="66">
        <f t="shared" si="472"/>
        <v>0</v>
      </c>
      <c r="IF103" s="715"/>
      <c r="IG103" s="716"/>
      <c r="IH103" s="701" t="str">
        <f t="shared" si="498"/>
        <v/>
      </c>
      <c r="II103" s="66">
        <f t="shared" si="473"/>
        <v>0</v>
      </c>
      <c r="IJ103" s="715"/>
      <c r="IK103" s="716"/>
      <c r="IL103" s="701" t="str">
        <f t="shared" si="499"/>
        <v/>
      </c>
      <c r="IM103" s="66">
        <f t="shared" si="474"/>
        <v>0</v>
      </c>
      <c r="IN103" s="715"/>
      <c r="IO103" s="716"/>
      <c r="IP103" s="701" t="str">
        <f t="shared" si="500"/>
        <v/>
      </c>
      <c r="IQ103" s="66">
        <f t="shared" si="475"/>
        <v>0</v>
      </c>
      <c r="IR103" s="715"/>
      <c r="IS103" s="716"/>
      <c r="IT103" s="701" t="str">
        <f t="shared" si="501"/>
        <v/>
      </c>
      <c r="IU103" s="66">
        <f t="shared" si="476"/>
        <v>0</v>
      </c>
      <c r="IV103" s="715"/>
      <c r="IW103" s="716"/>
      <c r="IX103" s="701" t="str">
        <f t="shared" si="502"/>
        <v/>
      </c>
      <c r="IY103" s="66">
        <f t="shared" si="477"/>
        <v>0</v>
      </c>
    </row>
    <row r="104" spans="45:259" ht="13.3" thickTop="1" thickBot="1" x14ac:dyDescent="0.35">
      <c r="AT104" s="290" t="str" cm="1">
        <f t="array" ref="AT104">IF(AV104="","",INDEX(A$25:$A$49,AV104))</f>
        <v/>
      </c>
      <c r="AU104" s="799" t="str">
        <f t="shared" si="531"/>
        <v/>
      </c>
      <c r="AV104" s="1" t="str">
        <f t="shared" si="532"/>
        <v/>
      </c>
      <c r="AW104" s="678" t="str">
        <f t="shared" si="533"/>
        <v/>
      </c>
      <c r="AX104" s="802" t="str">
        <f t="shared" si="534"/>
        <v/>
      </c>
      <c r="AY104" s="41" t="str">
        <f t="shared" si="535"/>
        <v/>
      </c>
      <c r="AZ104" s="770" t="str">
        <f t="shared" si="536"/>
        <v/>
      </c>
      <c r="BX104" s="242"/>
      <c r="BY104" s="242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F104" s="33"/>
      <c r="EG104" s="33"/>
      <c r="EH104" s="33"/>
      <c r="EI104" s="33"/>
      <c r="EJ104" s="33"/>
      <c r="EK104" s="33"/>
      <c r="EL104" s="33"/>
      <c r="EM104" s="33"/>
      <c r="EO104" s="33"/>
      <c r="EP104" s="33"/>
      <c r="EQ104" s="33"/>
      <c r="ET104" s="33"/>
      <c r="EU104" s="33"/>
      <c r="EV104" s="33"/>
      <c r="EW104" s="33">
        <v>22</v>
      </c>
      <c r="EY104" s="33"/>
      <c r="FC104" s="121" t="str">
        <f t="shared" si="450"/>
        <v/>
      </c>
      <c r="FD104" s="115" t="str">
        <f t="shared" si="530"/>
        <v/>
      </c>
      <c r="FE104" s="92">
        <f t="shared" si="452"/>
        <v>0</v>
      </c>
      <c r="FF104" s="711">
        <f t="shared" si="537"/>
        <v>0</v>
      </c>
      <c r="FG104" s="702">
        <f t="shared" si="537"/>
        <v>0</v>
      </c>
      <c r="FH104" s="19">
        <f t="shared" si="478"/>
        <v>0</v>
      </c>
      <c r="FI104" s="718"/>
      <c r="FJ104" s="701" t="str">
        <f t="shared" si="479"/>
        <v/>
      </c>
      <c r="FK104" s="66">
        <f t="shared" si="454"/>
        <v>0</v>
      </c>
      <c r="FL104" s="715"/>
      <c r="FM104" s="716"/>
      <c r="FN104" s="701" t="str">
        <f t="shared" si="480"/>
        <v/>
      </c>
      <c r="FO104" s="66">
        <f t="shared" si="455"/>
        <v>0</v>
      </c>
      <c r="FP104" s="715"/>
      <c r="FQ104" s="716"/>
      <c r="FR104" s="701" t="str">
        <f t="shared" si="481"/>
        <v/>
      </c>
      <c r="FS104" s="66">
        <f t="shared" si="456"/>
        <v>0</v>
      </c>
      <c r="FT104" s="715"/>
      <c r="FU104" s="716"/>
      <c r="FV104" s="701" t="str">
        <f t="shared" si="482"/>
        <v/>
      </c>
      <c r="FW104" s="66">
        <f t="shared" si="457"/>
        <v>0</v>
      </c>
      <c r="FX104" s="715"/>
      <c r="FY104" s="716"/>
      <c r="FZ104" s="701" t="str">
        <f t="shared" si="483"/>
        <v/>
      </c>
      <c r="GA104" s="66">
        <f t="shared" si="458"/>
        <v>0</v>
      </c>
      <c r="GB104" s="715"/>
      <c r="GC104" s="716"/>
      <c r="GD104" s="701" t="str">
        <f t="shared" si="484"/>
        <v/>
      </c>
      <c r="GE104" s="66">
        <f t="shared" si="459"/>
        <v>0</v>
      </c>
      <c r="GF104" s="715"/>
      <c r="GG104" s="716"/>
      <c r="GH104" s="701" t="str">
        <f t="shared" si="485"/>
        <v/>
      </c>
      <c r="GI104" s="66">
        <f t="shared" si="460"/>
        <v>0</v>
      </c>
      <c r="GJ104" s="715"/>
      <c r="GK104" s="716"/>
      <c r="GL104" s="701" t="str">
        <f t="shared" si="486"/>
        <v/>
      </c>
      <c r="GM104" s="66">
        <f t="shared" si="461"/>
        <v>0</v>
      </c>
      <c r="GN104" s="715"/>
      <c r="GO104" s="716"/>
      <c r="GP104" s="701" t="str">
        <f t="shared" si="487"/>
        <v/>
      </c>
      <c r="GQ104" s="66">
        <f t="shared" si="462"/>
        <v>0</v>
      </c>
      <c r="GR104" s="715"/>
      <c r="GS104" s="716"/>
      <c r="GT104" s="701" t="str">
        <f t="shared" si="488"/>
        <v/>
      </c>
      <c r="GU104" s="66">
        <f t="shared" si="463"/>
        <v>0</v>
      </c>
      <c r="GV104" s="715"/>
      <c r="GW104" s="716"/>
      <c r="GX104" s="701" t="str">
        <f t="shared" si="489"/>
        <v/>
      </c>
      <c r="GY104" s="66">
        <f t="shared" si="464"/>
        <v>0</v>
      </c>
      <c r="GZ104" s="715"/>
      <c r="HA104" s="716"/>
      <c r="HB104" s="701" t="str">
        <f t="shared" si="490"/>
        <v/>
      </c>
      <c r="HC104" s="66">
        <f t="shared" si="465"/>
        <v>0</v>
      </c>
      <c r="HD104" s="715"/>
      <c r="HE104" s="716"/>
      <c r="HF104" s="701" t="str">
        <f t="shared" si="491"/>
        <v/>
      </c>
      <c r="HG104" s="66">
        <f t="shared" si="466"/>
        <v>0</v>
      </c>
      <c r="HH104" s="715"/>
      <c r="HI104" s="716"/>
      <c r="HJ104" s="701" t="str">
        <f t="shared" si="492"/>
        <v/>
      </c>
      <c r="HK104" s="66">
        <f t="shared" si="467"/>
        <v>0</v>
      </c>
      <c r="HL104" s="715"/>
      <c r="HM104" s="716"/>
      <c r="HN104" s="701" t="str">
        <f t="shared" si="493"/>
        <v/>
      </c>
      <c r="HO104" s="66">
        <f t="shared" si="468"/>
        <v>0</v>
      </c>
      <c r="HP104" s="715"/>
      <c r="HQ104" s="716"/>
      <c r="HR104" s="701" t="str">
        <f t="shared" si="494"/>
        <v/>
      </c>
      <c r="HS104" s="66">
        <f t="shared" si="469"/>
        <v>0</v>
      </c>
      <c r="HT104" s="715"/>
      <c r="HU104" s="716"/>
      <c r="HV104" s="701" t="str">
        <f t="shared" si="495"/>
        <v/>
      </c>
      <c r="HW104" s="66">
        <f t="shared" si="470"/>
        <v>0</v>
      </c>
      <c r="HX104" s="715"/>
      <c r="HY104" s="716"/>
      <c r="HZ104" s="701" t="str">
        <f t="shared" si="496"/>
        <v/>
      </c>
      <c r="IA104" s="66">
        <f t="shared" si="471"/>
        <v>0</v>
      </c>
      <c r="IB104" s="715"/>
      <c r="IC104" s="716"/>
      <c r="ID104" s="701" t="str">
        <f t="shared" si="497"/>
        <v/>
      </c>
      <c r="IE104" s="66">
        <f t="shared" si="472"/>
        <v>0</v>
      </c>
      <c r="IF104" s="715"/>
      <c r="IG104" s="716"/>
      <c r="IH104" s="701" t="str">
        <f t="shared" si="498"/>
        <v/>
      </c>
      <c r="II104" s="66">
        <f t="shared" si="473"/>
        <v>0</v>
      </c>
      <c r="IJ104" s="715"/>
      <c r="IK104" s="716"/>
      <c r="IL104" s="701" t="str">
        <f t="shared" si="499"/>
        <v/>
      </c>
      <c r="IM104" s="66">
        <f t="shared" si="474"/>
        <v>0</v>
      </c>
      <c r="IN104" s="715"/>
      <c r="IO104" s="716"/>
      <c r="IP104" s="701" t="str">
        <f t="shared" si="500"/>
        <v/>
      </c>
      <c r="IQ104" s="66">
        <f t="shared" si="475"/>
        <v>0</v>
      </c>
      <c r="IR104" s="715"/>
      <c r="IS104" s="716"/>
      <c r="IT104" s="701" t="str">
        <f t="shared" si="501"/>
        <v/>
      </c>
      <c r="IU104" s="66">
        <f t="shared" si="476"/>
        <v>0</v>
      </c>
      <c r="IV104" s="715"/>
      <c r="IW104" s="716"/>
      <c r="IX104" s="701" t="str">
        <f t="shared" si="502"/>
        <v/>
      </c>
      <c r="IY104" s="66">
        <f t="shared" si="477"/>
        <v>0</v>
      </c>
    </row>
    <row r="105" spans="45:259" ht="13.3" thickTop="1" thickBot="1" x14ac:dyDescent="0.35">
      <c r="AT105" s="290" t="str" cm="1">
        <f t="array" ref="AT105">IF(AV105="","",INDEX(A$25:$A$49,AV105))</f>
        <v/>
      </c>
      <c r="AU105" s="799" t="str">
        <f t="shared" si="531"/>
        <v/>
      </c>
      <c r="AV105" s="1" t="str">
        <f t="shared" si="532"/>
        <v/>
      </c>
      <c r="AW105" s="678" t="str">
        <f t="shared" si="533"/>
        <v/>
      </c>
      <c r="AX105" s="802" t="str">
        <f t="shared" si="534"/>
        <v/>
      </c>
      <c r="AY105" s="41" t="str">
        <f t="shared" si="535"/>
        <v/>
      </c>
      <c r="AZ105" s="770" t="str">
        <f t="shared" si="536"/>
        <v/>
      </c>
      <c r="BX105" s="242"/>
      <c r="BY105" s="242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F105" s="33"/>
      <c r="EG105" s="33"/>
      <c r="EH105" s="33"/>
      <c r="EI105" s="33"/>
      <c r="EJ105" s="33"/>
      <c r="EK105" s="33"/>
      <c r="EL105" s="33"/>
      <c r="EM105" s="33"/>
      <c r="EO105" s="33"/>
      <c r="EP105" s="33"/>
      <c r="EQ105" s="33"/>
      <c r="ET105" s="33"/>
      <c r="EU105" s="33"/>
      <c r="EV105" s="33"/>
      <c r="EW105" s="33">
        <v>23</v>
      </c>
      <c r="EY105" s="33"/>
      <c r="FC105" s="121" t="str">
        <f t="shared" si="450"/>
        <v/>
      </c>
      <c r="FD105" s="115" t="str">
        <f t="shared" si="530"/>
        <v/>
      </c>
      <c r="FE105" s="92">
        <f t="shared" si="452"/>
        <v>0</v>
      </c>
      <c r="FF105" s="711">
        <f t="shared" si="537"/>
        <v>0</v>
      </c>
      <c r="FG105" s="702">
        <f t="shared" si="537"/>
        <v>0</v>
      </c>
      <c r="FH105" s="19">
        <f t="shared" si="478"/>
        <v>0</v>
      </c>
      <c r="FI105" s="718"/>
      <c r="FJ105" s="701" t="str">
        <f t="shared" si="479"/>
        <v/>
      </c>
      <c r="FK105" s="66">
        <f t="shared" si="454"/>
        <v>0</v>
      </c>
      <c r="FL105" s="715"/>
      <c r="FM105" s="716"/>
      <c r="FN105" s="701" t="str">
        <f t="shared" si="480"/>
        <v/>
      </c>
      <c r="FO105" s="66">
        <f t="shared" si="455"/>
        <v>0</v>
      </c>
      <c r="FP105" s="715"/>
      <c r="FQ105" s="716"/>
      <c r="FR105" s="701" t="str">
        <f t="shared" si="481"/>
        <v/>
      </c>
      <c r="FS105" s="66">
        <f t="shared" si="456"/>
        <v>0</v>
      </c>
      <c r="FT105" s="715"/>
      <c r="FU105" s="716"/>
      <c r="FV105" s="701" t="str">
        <f t="shared" si="482"/>
        <v/>
      </c>
      <c r="FW105" s="66">
        <f t="shared" si="457"/>
        <v>0</v>
      </c>
      <c r="FX105" s="715"/>
      <c r="FY105" s="716"/>
      <c r="FZ105" s="701" t="str">
        <f t="shared" si="483"/>
        <v/>
      </c>
      <c r="GA105" s="66">
        <f t="shared" si="458"/>
        <v>0</v>
      </c>
      <c r="GB105" s="715"/>
      <c r="GC105" s="716"/>
      <c r="GD105" s="701" t="str">
        <f t="shared" si="484"/>
        <v/>
      </c>
      <c r="GE105" s="66">
        <f t="shared" si="459"/>
        <v>0</v>
      </c>
      <c r="GF105" s="715"/>
      <c r="GG105" s="716"/>
      <c r="GH105" s="701" t="str">
        <f t="shared" si="485"/>
        <v/>
      </c>
      <c r="GI105" s="66">
        <f t="shared" si="460"/>
        <v>0</v>
      </c>
      <c r="GJ105" s="715"/>
      <c r="GK105" s="716"/>
      <c r="GL105" s="701" t="str">
        <f t="shared" si="486"/>
        <v/>
      </c>
      <c r="GM105" s="66">
        <f t="shared" si="461"/>
        <v>0</v>
      </c>
      <c r="GN105" s="715"/>
      <c r="GO105" s="716"/>
      <c r="GP105" s="701" t="str">
        <f t="shared" si="487"/>
        <v/>
      </c>
      <c r="GQ105" s="66">
        <f t="shared" si="462"/>
        <v>0</v>
      </c>
      <c r="GR105" s="715"/>
      <c r="GS105" s="716"/>
      <c r="GT105" s="701" t="str">
        <f t="shared" si="488"/>
        <v/>
      </c>
      <c r="GU105" s="66">
        <f t="shared" si="463"/>
        <v>0</v>
      </c>
      <c r="GV105" s="715"/>
      <c r="GW105" s="716"/>
      <c r="GX105" s="701" t="str">
        <f t="shared" si="489"/>
        <v/>
      </c>
      <c r="GY105" s="66">
        <f t="shared" si="464"/>
        <v>0</v>
      </c>
      <c r="GZ105" s="715"/>
      <c r="HA105" s="716"/>
      <c r="HB105" s="701" t="str">
        <f t="shared" si="490"/>
        <v/>
      </c>
      <c r="HC105" s="66">
        <f t="shared" si="465"/>
        <v>0</v>
      </c>
      <c r="HD105" s="715"/>
      <c r="HE105" s="716"/>
      <c r="HF105" s="701" t="str">
        <f t="shared" si="491"/>
        <v/>
      </c>
      <c r="HG105" s="66">
        <f t="shared" si="466"/>
        <v>0</v>
      </c>
      <c r="HH105" s="715"/>
      <c r="HI105" s="716"/>
      <c r="HJ105" s="701" t="str">
        <f t="shared" si="492"/>
        <v/>
      </c>
      <c r="HK105" s="66">
        <f t="shared" si="467"/>
        <v>0</v>
      </c>
      <c r="HL105" s="715"/>
      <c r="HM105" s="716"/>
      <c r="HN105" s="701" t="str">
        <f t="shared" si="493"/>
        <v/>
      </c>
      <c r="HO105" s="66">
        <f t="shared" si="468"/>
        <v>0</v>
      </c>
      <c r="HP105" s="715"/>
      <c r="HQ105" s="716"/>
      <c r="HR105" s="701" t="str">
        <f t="shared" si="494"/>
        <v/>
      </c>
      <c r="HS105" s="66">
        <f t="shared" si="469"/>
        <v>0</v>
      </c>
      <c r="HT105" s="715"/>
      <c r="HU105" s="716"/>
      <c r="HV105" s="701" t="str">
        <f t="shared" si="495"/>
        <v/>
      </c>
      <c r="HW105" s="66">
        <f t="shared" si="470"/>
        <v>0</v>
      </c>
      <c r="HX105" s="715"/>
      <c r="HY105" s="716"/>
      <c r="HZ105" s="701" t="str">
        <f t="shared" si="496"/>
        <v/>
      </c>
      <c r="IA105" s="66">
        <f t="shared" si="471"/>
        <v>0</v>
      </c>
      <c r="IB105" s="715"/>
      <c r="IC105" s="716"/>
      <c r="ID105" s="701" t="str">
        <f t="shared" si="497"/>
        <v/>
      </c>
      <c r="IE105" s="66">
        <f t="shared" si="472"/>
        <v>0</v>
      </c>
      <c r="IF105" s="715"/>
      <c r="IG105" s="716"/>
      <c r="IH105" s="701" t="str">
        <f t="shared" si="498"/>
        <v/>
      </c>
      <c r="II105" s="66">
        <f t="shared" si="473"/>
        <v>0</v>
      </c>
      <c r="IJ105" s="715"/>
      <c r="IK105" s="716"/>
      <c r="IL105" s="701" t="str">
        <f t="shared" si="499"/>
        <v/>
      </c>
      <c r="IM105" s="66">
        <f t="shared" si="474"/>
        <v>0</v>
      </c>
      <c r="IN105" s="715"/>
      <c r="IO105" s="716"/>
      <c r="IP105" s="701" t="str">
        <f t="shared" si="500"/>
        <v/>
      </c>
      <c r="IQ105" s="66">
        <f t="shared" si="475"/>
        <v>0</v>
      </c>
      <c r="IR105" s="715"/>
      <c r="IS105" s="716"/>
      <c r="IT105" s="701" t="str">
        <f t="shared" si="501"/>
        <v/>
      </c>
      <c r="IU105" s="66">
        <f t="shared" si="476"/>
        <v>0</v>
      </c>
      <c r="IV105" s="715"/>
      <c r="IW105" s="716"/>
      <c r="IX105" s="701" t="str">
        <f t="shared" si="502"/>
        <v/>
      </c>
      <c r="IY105" s="66">
        <f t="shared" si="477"/>
        <v>0</v>
      </c>
    </row>
    <row r="106" spans="45:259" ht="13.3" thickTop="1" thickBot="1" x14ac:dyDescent="0.35">
      <c r="AT106" s="290" t="str" cm="1">
        <f t="array" ref="AT106">IF(AV106="","",INDEX(A$25:$A$49,AV106))</f>
        <v/>
      </c>
      <c r="AU106" s="799" t="str">
        <f t="shared" si="531"/>
        <v/>
      </c>
      <c r="AV106" s="1" t="str">
        <f t="shared" si="532"/>
        <v/>
      </c>
      <c r="AW106" s="678" t="str">
        <f t="shared" si="533"/>
        <v/>
      </c>
      <c r="AX106" s="802" t="str">
        <f t="shared" si="534"/>
        <v/>
      </c>
      <c r="AY106" s="41" t="str">
        <f t="shared" si="535"/>
        <v/>
      </c>
      <c r="AZ106" s="770" t="str">
        <f t="shared" si="536"/>
        <v/>
      </c>
      <c r="BX106" s="242"/>
      <c r="BY106" s="242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F106" s="33"/>
      <c r="EG106" s="33"/>
      <c r="EH106" s="33"/>
      <c r="EI106" s="33"/>
      <c r="EJ106" s="33"/>
      <c r="EK106" s="33"/>
      <c r="EL106" s="33"/>
      <c r="EM106" s="33"/>
      <c r="EO106" s="33"/>
      <c r="EP106" s="33"/>
      <c r="EQ106" s="33"/>
      <c r="ET106" s="33"/>
      <c r="EU106" s="33"/>
      <c r="EV106" s="33"/>
      <c r="EW106" s="33">
        <v>24</v>
      </c>
      <c r="EY106" s="33"/>
      <c r="FC106" s="121" t="str">
        <f t="shared" si="450"/>
        <v/>
      </c>
      <c r="FD106" s="115" t="str">
        <f t="shared" si="530"/>
        <v/>
      </c>
      <c r="FE106" s="92">
        <f t="shared" si="452"/>
        <v>0</v>
      </c>
      <c r="FF106" s="711">
        <f t="shared" si="537"/>
        <v>0</v>
      </c>
      <c r="FG106" s="702">
        <f t="shared" si="537"/>
        <v>0</v>
      </c>
      <c r="FH106" s="19">
        <f t="shared" si="478"/>
        <v>0</v>
      </c>
      <c r="FI106" s="718"/>
      <c r="FJ106" s="701" t="str">
        <f t="shared" si="479"/>
        <v/>
      </c>
      <c r="FK106" s="66">
        <f t="shared" si="454"/>
        <v>0</v>
      </c>
      <c r="FL106" s="715"/>
      <c r="FM106" s="716"/>
      <c r="FN106" s="701" t="str">
        <f t="shared" si="480"/>
        <v/>
      </c>
      <c r="FO106" s="66">
        <f t="shared" si="455"/>
        <v>0</v>
      </c>
      <c r="FP106" s="715"/>
      <c r="FQ106" s="716"/>
      <c r="FR106" s="701" t="str">
        <f t="shared" si="481"/>
        <v/>
      </c>
      <c r="FS106" s="66">
        <f t="shared" si="456"/>
        <v>0</v>
      </c>
      <c r="FT106" s="715"/>
      <c r="FU106" s="716"/>
      <c r="FV106" s="701" t="str">
        <f t="shared" si="482"/>
        <v/>
      </c>
      <c r="FW106" s="66">
        <f t="shared" si="457"/>
        <v>0</v>
      </c>
      <c r="FX106" s="715"/>
      <c r="FY106" s="716"/>
      <c r="FZ106" s="701" t="str">
        <f t="shared" si="483"/>
        <v/>
      </c>
      <c r="GA106" s="66">
        <f t="shared" si="458"/>
        <v>0</v>
      </c>
      <c r="GB106" s="715"/>
      <c r="GC106" s="716"/>
      <c r="GD106" s="701" t="str">
        <f t="shared" si="484"/>
        <v/>
      </c>
      <c r="GE106" s="66">
        <f t="shared" si="459"/>
        <v>0</v>
      </c>
      <c r="GF106" s="715"/>
      <c r="GG106" s="716"/>
      <c r="GH106" s="701" t="str">
        <f t="shared" si="485"/>
        <v/>
      </c>
      <c r="GI106" s="66">
        <f t="shared" si="460"/>
        <v>0</v>
      </c>
      <c r="GJ106" s="715"/>
      <c r="GK106" s="716"/>
      <c r="GL106" s="701" t="str">
        <f t="shared" si="486"/>
        <v/>
      </c>
      <c r="GM106" s="66">
        <f t="shared" si="461"/>
        <v>0</v>
      </c>
      <c r="GN106" s="715"/>
      <c r="GO106" s="716"/>
      <c r="GP106" s="701" t="str">
        <f t="shared" si="487"/>
        <v/>
      </c>
      <c r="GQ106" s="66">
        <f t="shared" si="462"/>
        <v>0</v>
      </c>
      <c r="GR106" s="715"/>
      <c r="GS106" s="716"/>
      <c r="GT106" s="701" t="str">
        <f t="shared" si="488"/>
        <v/>
      </c>
      <c r="GU106" s="66">
        <f t="shared" si="463"/>
        <v>0</v>
      </c>
      <c r="GV106" s="715"/>
      <c r="GW106" s="716"/>
      <c r="GX106" s="701" t="str">
        <f t="shared" si="489"/>
        <v/>
      </c>
      <c r="GY106" s="66">
        <f t="shared" si="464"/>
        <v>0</v>
      </c>
      <c r="GZ106" s="715"/>
      <c r="HA106" s="716"/>
      <c r="HB106" s="701" t="str">
        <f t="shared" si="490"/>
        <v/>
      </c>
      <c r="HC106" s="66">
        <f t="shared" si="465"/>
        <v>0</v>
      </c>
      <c r="HD106" s="715"/>
      <c r="HE106" s="716"/>
      <c r="HF106" s="701" t="str">
        <f t="shared" si="491"/>
        <v/>
      </c>
      <c r="HG106" s="66">
        <f t="shared" si="466"/>
        <v>0</v>
      </c>
      <c r="HH106" s="715"/>
      <c r="HI106" s="716"/>
      <c r="HJ106" s="701" t="str">
        <f t="shared" si="492"/>
        <v/>
      </c>
      <c r="HK106" s="66">
        <f t="shared" si="467"/>
        <v>0</v>
      </c>
      <c r="HL106" s="715"/>
      <c r="HM106" s="716"/>
      <c r="HN106" s="701" t="str">
        <f t="shared" si="493"/>
        <v/>
      </c>
      <c r="HO106" s="66">
        <f t="shared" si="468"/>
        <v>0</v>
      </c>
      <c r="HP106" s="715"/>
      <c r="HQ106" s="716"/>
      <c r="HR106" s="701" t="str">
        <f t="shared" si="494"/>
        <v/>
      </c>
      <c r="HS106" s="66">
        <f t="shared" si="469"/>
        <v>0</v>
      </c>
      <c r="HT106" s="715"/>
      <c r="HU106" s="716"/>
      <c r="HV106" s="701" t="str">
        <f t="shared" si="495"/>
        <v/>
      </c>
      <c r="HW106" s="66">
        <f t="shared" si="470"/>
        <v>0</v>
      </c>
      <c r="HX106" s="715"/>
      <c r="HY106" s="716"/>
      <c r="HZ106" s="701" t="str">
        <f t="shared" si="496"/>
        <v/>
      </c>
      <c r="IA106" s="66">
        <f t="shared" si="471"/>
        <v>0</v>
      </c>
      <c r="IB106" s="715"/>
      <c r="IC106" s="716"/>
      <c r="ID106" s="701" t="str">
        <f t="shared" si="497"/>
        <v/>
      </c>
      <c r="IE106" s="66">
        <f t="shared" si="472"/>
        <v>0</v>
      </c>
      <c r="IF106" s="715"/>
      <c r="IG106" s="716"/>
      <c r="IH106" s="701" t="str">
        <f t="shared" si="498"/>
        <v/>
      </c>
      <c r="II106" s="66">
        <f t="shared" si="473"/>
        <v>0</v>
      </c>
      <c r="IJ106" s="715"/>
      <c r="IK106" s="716"/>
      <c r="IL106" s="701" t="str">
        <f t="shared" si="499"/>
        <v/>
      </c>
      <c r="IM106" s="66">
        <f t="shared" si="474"/>
        <v>0</v>
      </c>
      <c r="IN106" s="715"/>
      <c r="IO106" s="716"/>
      <c r="IP106" s="701" t="str">
        <f t="shared" si="500"/>
        <v/>
      </c>
      <c r="IQ106" s="66">
        <f t="shared" si="475"/>
        <v>0</v>
      </c>
      <c r="IR106" s="715"/>
      <c r="IS106" s="716"/>
      <c r="IT106" s="701" t="str">
        <f t="shared" si="501"/>
        <v/>
      </c>
      <c r="IU106" s="66">
        <f t="shared" si="476"/>
        <v>0</v>
      </c>
      <c r="IV106" s="715"/>
      <c r="IW106" s="716"/>
      <c r="IX106" s="701" t="str">
        <f t="shared" si="502"/>
        <v/>
      </c>
      <c r="IY106" s="66">
        <f t="shared" si="477"/>
        <v>0</v>
      </c>
    </row>
    <row r="107" spans="45:259" ht="13.3" thickTop="1" thickBot="1" x14ac:dyDescent="0.35">
      <c r="AS107" s="1"/>
      <c r="AT107" s="290" t="str" cm="1">
        <f t="array" ref="AT107">IF(AV107="","",INDEX(A$25:$A$49,AV107))</f>
        <v/>
      </c>
      <c r="AU107" s="799" t="str">
        <f t="shared" si="531"/>
        <v/>
      </c>
      <c r="AV107" s="1" t="str">
        <f t="shared" si="532"/>
        <v/>
      </c>
      <c r="AW107" s="678" t="str">
        <f t="shared" si="533"/>
        <v/>
      </c>
      <c r="AX107" s="802" t="str">
        <f t="shared" si="534"/>
        <v/>
      </c>
      <c r="AY107" s="41" t="str">
        <f t="shared" si="535"/>
        <v/>
      </c>
      <c r="AZ107" s="770" t="str">
        <f t="shared" si="536"/>
        <v/>
      </c>
      <c r="BX107" s="242"/>
      <c r="BY107" s="242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F107" s="33"/>
      <c r="EG107" s="33"/>
      <c r="EH107" s="33"/>
      <c r="EI107" s="33"/>
      <c r="EJ107" s="33"/>
      <c r="EK107" s="33"/>
      <c r="EL107" s="33"/>
      <c r="EM107" s="33"/>
      <c r="EO107" s="33"/>
      <c r="EP107" s="33"/>
      <c r="EQ107" s="33"/>
      <c r="ET107" s="33"/>
      <c r="EU107" s="33"/>
      <c r="EV107" s="33"/>
      <c r="EW107" s="33">
        <v>25</v>
      </c>
      <c r="EY107" s="33"/>
      <c r="FC107" s="121" t="str">
        <f t="shared" si="450"/>
        <v/>
      </c>
      <c r="FD107" s="115" t="str">
        <f t="shared" si="530"/>
        <v/>
      </c>
      <c r="FE107" s="92">
        <f t="shared" si="452"/>
        <v>0</v>
      </c>
      <c r="FF107" s="711">
        <f t="shared" si="537"/>
        <v>0</v>
      </c>
      <c r="FG107" s="702">
        <f t="shared" si="537"/>
        <v>0</v>
      </c>
      <c r="FH107" s="19">
        <f t="shared" si="478"/>
        <v>0</v>
      </c>
      <c r="FI107" s="718"/>
      <c r="FJ107" s="701" t="str">
        <f t="shared" si="479"/>
        <v/>
      </c>
      <c r="FK107" s="66">
        <f t="shared" si="454"/>
        <v>0</v>
      </c>
      <c r="FL107" s="715"/>
      <c r="FM107" s="716"/>
      <c r="FN107" s="701" t="str">
        <f t="shared" si="480"/>
        <v/>
      </c>
      <c r="FO107" s="66">
        <f t="shared" si="455"/>
        <v>0</v>
      </c>
      <c r="FP107" s="715"/>
      <c r="FQ107" s="716"/>
      <c r="FR107" s="701" t="str">
        <f t="shared" si="481"/>
        <v/>
      </c>
      <c r="FS107" s="66">
        <f t="shared" si="456"/>
        <v>0</v>
      </c>
      <c r="FT107" s="715"/>
      <c r="FU107" s="716"/>
      <c r="FV107" s="701" t="str">
        <f t="shared" si="482"/>
        <v/>
      </c>
      <c r="FW107" s="66">
        <f t="shared" si="457"/>
        <v>0</v>
      </c>
      <c r="FX107" s="715"/>
      <c r="FY107" s="716"/>
      <c r="FZ107" s="701" t="str">
        <f t="shared" si="483"/>
        <v/>
      </c>
      <c r="GA107" s="66">
        <f t="shared" si="458"/>
        <v>0</v>
      </c>
      <c r="GB107" s="715"/>
      <c r="GC107" s="716"/>
      <c r="GD107" s="701" t="str">
        <f t="shared" si="484"/>
        <v/>
      </c>
      <c r="GE107" s="66">
        <f t="shared" si="459"/>
        <v>0</v>
      </c>
      <c r="GF107" s="715"/>
      <c r="GG107" s="716"/>
      <c r="GH107" s="701" t="str">
        <f t="shared" si="485"/>
        <v/>
      </c>
      <c r="GI107" s="66">
        <f t="shared" si="460"/>
        <v>0</v>
      </c>
      <c r="GJ107" s="715"/>
      <c r="GK107" s="716"/>
      <c r="GL107" s="701" t="str">
        <f t="shared" si="486"/>
        <v/>
      </c>
      <c r="GM107" s="66">
        <f t="shared" si="461"/>
        <v>0</v>
      </c>
      <c r="GN107" s="715"/>
      <c r="GO107" s="716"/>
      <c r="GP107" s="701" t="str">
        <f t="shared" si="487"/>
        <v/>
      </c>
      <c r="GQ107" s="66">
        <f t="shared" si="462"/>
        <v>0</v>
      </c>
      <c r="GR107" s="715"/>
      <c r="GS107" s="716"/>
      <c r="GT107" s="701" t="str">
        <f t="shared" si="488"/>
        <v/>
      </c>
      <c r="GU107" s="66">
        <f t="shared" si="463"/>
        <v>0</v>
      </c>
      <c r="GV107" s="715"/>
      <c r="GW107" s="716"/>
      <c r="GX107" s="701" t="str">
        <f t="shared" si="489"/>
        <v/>
      </c>
      <c r="GY107" s="66">
        <f t="shared" si="464"/>
        <v>0</v>
      </c>
      <c r="GZ107" s="715"/>
      <c r="HA107" s="716"/>
      <c r="HB107" s="701" t="str">
        <f t="shared" si="490"/>
        <v/>
      </c>
      <c r="HC107" s="66">
        <f t="shared" si="465"/>
        <v>0</v>
      </c>
      <c r="HD107" s="715"/>
      <c r="HE107" s="716"/>
      <c r="HF107" s="701" t="str">
        <f t="shared" si="491"/>
        <v/>
      </c>
      <c r="HG107" s="66">
        <f t="shared" si="466"/>
        <v>0</v>
      </c>
      <c r="HH107" s="715"/>
      <c r="HI107" s="716"/>
      <c r="HJ107" s="701" t="str">
        <f t="shared" si="492"/>
        <v/>
      </c>
      <c r="HK107" s="66">
        <f t="shared" si="467"/>
        <v>0</v>
      </c>
      <c r="HL107" s="715"/>
      <c r="HM107" s="716"/>
      <c r="HN107" s="701" t="str">
        <f t="shared" si="493"/>
        <v/>
      </c>
      <c r="HO107" s="66">
        <f t="shared" si="468"/>
        <v>0</v>
      </c>
      <c r="HP107" s="715"/>
      <c r="HQ107" s="716"/>
      <c r="HR107" s="701" t="str">
        <f t="shared" si="494"/>
        <v/>
      </c>
      <c r="HS107" s="66">
        <f t="shared" si="469"/>
        <v>0</v>
      </c>
      <c r="HT107" s="715"/>
      <c r="HU107" s="716"/>
      <c r="HV107" s="701" t="str">
        <f t="shared" si="495"/>
        <v/>
      </c>
      <c r="HW107" s="66">
        <f t="shared" si="470"/>
        <v>0</v>
      </c>
      <c r="HX107" s="715"/>
      <c r="HY107" s="716"/>
      <c r="HZ107" s="701" t="str">
        <f t="shared" si="496"/>
        <v/>
      </c>
      <c r="IA107" s="66">
        <f t="shared" si="471"/>
        <v>0</v>
      </c>
      <c r="IB107" s="715"/>
      <c r="IC107" s="716"/>
      <c r="ID107" s="701" t="str">
        <f t="shared" si="497"/>
        <v/>
      </c>
      <c r="IE107" s="66">
        <f t="shared" si="472"/>
        <v>0</v>
      </c>
      <c r="IF107" s="715"/>
      <c r="IG107" s="716"/>
      <c r="IH107" s="701" t="str">
        <f t="shared" si="498"/>
        <v/>
      </c>
      <c r="II107" s="66">
        <f t="shared" si="473"/>
        <v>0</v>
      </c>
      <c r="IJ107" s="715"/>
      <c r="IK107" s="716"/>
      <c r="IL107" s="701" t="str">
        <f t="shared" si="499"/>
        <v/>
      </c>
      <c r="IM107" s="66">
        <f t="shared" si="474"/>
        <v>0</v>
      </c>
      <c r="IN107" s="715"/>
      <c r="IO107" s="716"/>
      <c r="IP107" s="701" t="str">
        <f t="shared" si="500"/>
        <v/>
      </c>
      <c r="IQ107" s="66">
        <f t="shared" si="475"/>
        <v>0</v>
      </c>
      <c r="IR107" s="715"/>
      <c r="IS107" s="716"/>
      <c r="IT107" s="701" t="str">
        <f t="shared" si="501"/>
        <v/>
      </c>
      <c r="IU107" s="66">
        <f t="shared" si="476"/>
        <v>0</v>
      </c>
      <c r="IV107" s="715"/>
      <c r="IW107" s="716"/>
      <c r="IX107" s="701" t="str">
        <f t="shared" si="502"/>
        <v/>
      </c>
      <c r="IY107" s="66">
        <f t="shared" si="477"/>
        <v>0</v>
      </c>
    </row>
    <row r="108" spans="45:259" ht="13.3" thickTop="1" thickBot="1" x14ac:dyDescent="0.35">
      <c r="AS108" s="1"/>
      <c r="AT108" s="290" t="str" cm="1">
        <f t="array" ref="AT108">IF(AV108="","",INDEX(A$25:$A$49,AV108))</f>
        <v/>
      </c>
      <c r="AU108" s="799" t="str">
        <f t="shared" si="531"/>
        <v/>
      </c>
      <c r="AV108" s="1" t="str">
        <f t="shared" si="532"/>
        <v/>
      </c>
      <c r="AW108" s="678" t="str">
        <f t="shared" si="533"/>
        <v/>
      </c>
      <c r="AX108" s="802" t="str">
        <f t="shared" si="534"/>
        <v/>
      </c>
      <c r="AY108" s="41" t="str">
        <f t="shared" si="535"/>
        <v/>
      </c>
      <c r="AZ108" s="770" t="str">
        <f t="shared" si="536"/>
        <v/>
      </c>
      <c r="BX108" s="242"/>
      <c r="BY108" s="242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FC108" s="226" t="s">
        <v>123</v>
      </c>
      <c r="FD108" s="227">
        <f>SUM(FD83:FD107)</f>
        <v>0</v>
      </c>
      <c r="FE108" s="229">
        <f>MAX(FE83:FE107)</f>
        <v>0</v>
      </c>
    </row>
    <row r="109" spans="45:259" ht="13.3" thickTop="1" thickBot="1" x14ac:dyDescent="0.35">
      <c r="AS109" s="1"/>
      <c r="AT109" s="290" t="str" cm="1">
        <f t="array" ref="AT109">IF(AV109="","",INDEX(A$25:$A$49,AV109))</f>
        <v/>
      </c>
      <c r="AU109" s="799" t="str">
        <f t="shared" si="531"/>
        <v/>
      </c>
      <c r="AV109" s="1" t="str">
        <f t="shared" si="532"/>
        <v/>
      </c>
      <c r="AW109" s="678" t="str">
        <f t="shared" si="533"/>
        <v/>
      </c>
      <c r="AX109" s="802" t="str">
        <f t="shared" si="534"/>
        <v/>
      </c>
      <c r="AY109" s="41" t="str">
        <f t="shared" si="535"/>
        <v/>
      </c>
      <c r="AZ109" s="770" t="str">
        <f t="shared" si="536"/>
        <v/>
      </c>
      <c r="BX109" s="242"/>
      <c r="BY109" s="242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FD109" s="727" t="s">
        <v>283</v>
      </c>
      <c r="FE109" s="120"/>
      <c r="FF109" s="120"/>
      <c r="FG109" s="450">
        <f>FG22</f>
        <v>1</v>
      </c>
      <c r="FH109" s="33"/>
      <c r="FI109" s="450">
        <f>FG109+1</f>
        <v>2</v>
      </c>
      <c r="FL109" s="450">
        <f>FI109+1</f>
        <v>3</v>
      </c>
      <c r="FP109" s="450">
        <f>FL109+1</f>
        <v>4</v>
      </c>
      <c r="FT109" s="450">
        <f>FP109+1</f>
        <v>5</v>
      </c>
      <c r="FX109" s="450">
        <f>FT109+1</f>
        <v>6</v>
      </c>
      <c r="GB109" s="450">
        <f>FX109+1</f>
        <v>7</v>
      </c>
      <c r="GF109" s="450">
        <f>GB109+1</f>
        <v>8</v>
      </c>
      <c r="GJ109" s="450">
        <f>GF109+1</f>
        <v>9</v>
      </c>
      <c r="GN109" s="450">
        <f>GJ109+1</f>
        <v>10</v>
      </c>
      <c r="GR109" s="450">
        <f>GN109+1</f>
        <v>11</v>
      </c>
      <c r="GV109" s="450">
        <f>GR109+1</f>
        <v>12</v>
      </c>
      <c r="GZ109" s="450">
        <f>GV109+1</f>
        <v>13</v>
      </c>
      <c r="HD109" s="450">
        <f>GZ109+1</f>
        <v>14</v>
      </c>
      <c r="HH109" s="450">
        <f>HD109+1</f>
        <v>15</v>
      </c>
      <c r="HL109" s="450">
        <f>HH109+1</f>
        <v>16</v>
      </c>
      <c r="HP109" s="450">
        <f>HL109+1</f>
        <v>17</v>
      </c>
      <c r="HT109" s="450">
        <f>HP109+1</f>
        <v>18</v>
      </c>
      <c r="HX109" s="450">
        <f>HT109+1</f>
        <v>19</v>
      </c>
      <c r="IB109" s="450">
        <f>HX109+1</f>
        <v>20</v>
      </c>
      <c r="IF109" s="450">
        <f>IB109+1</f>
        <v>21</v>
      </c>
      <c r="IJ109" s="450">
        <f>IF109+1</f>
        <v>22</v>
      </c>
      <c r="IN109" s="450">
        <f>IJ109+1</f>
        <v>23</v>
      </c>
      <c r="IR109" s="450">
        <f>IN109+1</f>
        <v>24</v>
      </c>
      <c r="IV109" s="450">
        <f>IR109+1</f>
        <v>25</v>
      </c>
    </row>
    <row r="110" spans="45:259" ht="15" customHeight="1" thickTop="1" thickBot="1" x14ac:dyDescent="0.35">
      <c r="AS110" s="1"/>
      <c r="AT110" s="290" t="str" cm="1">
        <f t="array" ref="AT110">IF(AV110="","",INDEX(A$25:$A$49,AV110))</f>
        <v/>
      </c>
      <c r="AU110" s="799" t="str">
        <f t="shared" si="531"/>
        <v/>
      </c>
      <c r="AV110" s="1" t="str">
        <f t="shared" si="532"/>
        <v/>
      </c>
      <c r="AW110" s="678" t="str">
        <f t="shared" si="533"/>
        <v/>
      </c>
      <c r="AX110" s="802" t="str">
        <f t="shared" si="534"/>
        <v/>
      </c>
      <c r="AY110" s="41" t="str">
        <f t="shared" si="535"/>
        <v/>
      </c>
      <c r="AZ110" s="770" t="str">
        <f t="shared" si="536"/>
        <v/>
      </c>
      <c r="EA110" s="33"/>
      <c r="EB110" s="449" t="s">
        <v>131</v>
      </c>
      <c r="EC110" s="450" t="s">
        <v>304</v>
      </c>
      <c r="ED110" s="239" t="s">
        <v>44</v>
      </c>
      <c r="EE110" s="451" t="s">
        <v>305</v>
      </c>
      <c r="EF110" s="452"/>
      <c r="EG110" s="452"/>
      <c r="EH110" s="239"/>
      <c r="EI110" s="449" t="s">
        <v>131</v>
      </c>
      <c r="EJ110" s="449" t="s">
        <v>306</v>
      </c>
      <c r="EK110" s="450" t="s">
        <v>304</v>
      </c>
      <c r="EL110" s="663" t="s">
        <v>119</v>
      </c>
      <c r="EM110" s="184" t="s">
        <v>335</v>
      </c>
      <c r="EN110" s="181" t="s">
        <v>504</v>
      </c>
      <c r="EO110" s="181" t="s">
        <v>505</v>
      </c>
      <c r="EP110" s="335" t="s">
        <v>307</v>
      </c>
      <c r="EQ110" s="33"/>
      <c r="ER110" s="33"/>
      <c r="ES110" s="33"/>
      <c r="ET110" s="33"/>
      <c r="EU110" s="33"/>
      <c r="EV110" s="33"/>
      <c r="EW110" s="33"/>
      <c r="EX110" s="33"/>
      <c r="EY110" s="33"/>
      <c r="FD110" s="268" t="s">
        <v>213</v>
      </c>
      <c r="FE110" s="268" t="s">
        <v>282</v>
      </c>
      <c r="FF110" s="273" t="s">
        <v>77</v>
      </c>
      <c r="FG110" s="62" t="s">
        <v>75</v>
      </c>
      <c r="FH110" s="108" t="s">
        <v>204</v>
      </c>
      <c r="FI110" s="61" t="s">
        <v>73</v>
      </c>
      <c r="FJ110" s="59"/>
      <c r="FK110" s="108" t="s">
        <v>204</v>
      </c>
      <c r="FL110" s="64"/>
      <c r="FM110" s="62" t="s">
        <v>73</v>
      </c>
      <c r="FN110" s="59"/>
      <c r="FO110" s="108" t="s">
        <v>204</v>
      </c>
      <c r="FP110" s="64"/>
      <c r="FQ110" s="62" t="s">
        <v>73</v>
      </c>
      <c r="FR110" s="59"/>
      <c r="FS110" s="108" t="s">
        <v>204</v>
      </c>
      <c r="FT110" s="64"/>
      <c r="FU110" s="62" t="s">
        <v>73</v>
      </c>
      <c r="FV110" s="59"/>
      <c r="FW110" s="108" t="s">
        <v>204</v>
      </c>
      <c r="FX110" s="64"/>
      <c r="FY110" s="62" t="s">
        <v>73</v>
      </c>
      <c r="FZ110" s="59"/>
      <c r="GA110" s="108" t="s">
        <v>204</v>
      </c>
      <c r="GB110" s="64"/>
      <c r="GC110" s="62" t="s">
        <v>73</v>
      </c>
      <c r="GD110" s="59"/>
      <c r="GE110" s="108" t="s">
        <v>204</v>
      </c>
      <c r="GF110" s="64"/>
      <c r="GG110" s="62" t="s">
        <v>73</v>
      </c>
      <c r="GH110" s="59"/>
      <c r="GI110" s="108" t="s">
        <v>204</v>
      </c>
      <c r="GJ110" s="64"/>
      <c r="GK110" s="62" t="s">
        <v>73</v>
      </c>
      <c r="GL110" s="59"/>
      <c r="GM110" s="108" t="s">
        <v>204</v>
      </c>
      <c r="GN110" s="64"/>
      <c r="GO110" s="62" t="s">
        <v>73</v>
      </c>
      <c r="GP110" s="59"/>
      <c r="GQ110" s="108" t="s">
        <v>204</v>
      </c>
      <c r="GR110" s="64"/>
      <c r="GS110" s="62" t="s">
        <v>73</v>
      </c>
      <c r="GT110" s="59"/>
      <c r="GU110" s="108" t="s">
        <v>204</v>
      </c>
      <c r="GV110" s="64"/>
      <c r="GW110" s="62" t="s">
        <v>73</v>
      </c>
      <c r="GX110" s="59"/>
      <c r="GY110" s="108" t="s">
        <v>204</v>
      </c>
      <c r="GZ110" s="64"/>
      <c r="HA110" s="62" t="s">
        <v>73</v>
      </c>
      <c r="HB110" s="59"/>
      <c r="HC110" s="108" t="s">
        <v>204</v>
      </c>
      <c r="HD110" s="64"/>
      <c r="HE110" s="62" t="s">
        <v>73</v>
      </c>
      <c r="HF110" s="59"/>
      <c r="HG110" s="108" t="s">
        <v>204</v>
      </c>
      <c r="HH110" s="64"/>
      <c r="HI110" s="62" t="s">
        <v>73</v>
      </c>
      <c r="HJ110" s="59"/>
      <c r="HK110" s="108" t="s">
        <v>204</v>
      </c>
      <c r="HL110" s="64"/>
      <c r="HM110" s="62" t="s">
        <v>73</v>
      </c>
      <c r="HN110" s="59"/>
      <c r="HO110" s="108" t="s">
        <v>204</v>
      </c>
      <c r="HP110" s="64"/>
      <c r="HQ110" s="62" t="s">
        <v>73</v>
      </c>
      <c r="HR110" s="59"/>
      <c r="HS110" s="108" t="s">
        <v>204</v>
      </c>
      <c r="HT110" s="64"/>
      <c r="HU110" s="62" t="s">
        <v>73</v>
      </c>
      <c r="HV110" s="59"/>
      <c r="HW110" s="108" t="s">
        <v>204</v>
      </c>
      <c r="HX110" s="64"/>
      <c r="HY110" s="62" t="s">
        <v>73</v>
      </c>
      <c r="HZ110" s="59"/>
      <c r="IA110" s="108" t="s">
        <v>204</v>
      </c>
      <c r="IB110" s="64"/>
      <c r="IC110" s="62" t="s">
        <v>73</v>
      </c>
      <c r="ID110" s="59"/>
      <c r="IE110" s="108" t="s">
        <v>204</v>
      </c>
      <c r="IF110" s="64"/>
      <c r="IG110" s="62" t="s">
        <v>73</v>
      </c>
      <c r="IH110" s="59"/>
      <c r="II110" s="108" t="s">
        <v>204</v>
      </c>
      <c r="IJ110" s="64"/>
      <c r="IK110" s="62" t="s">
        <v>73</v>
      </c>
      <c r="IL110" s="59"/>
      <c r="IM110" s="108" t="s">
        <v>204</v>
      </c>
      <c r="IN110" s="64"/>
      <c r="IO110" s="62" t="s">
        <v>73</v>
      </c>
      <c r="IP110" s="59"/>
      <c r="IQ110" s="108" t="s">
        <v>204</v>
      </c>
      <c r="IR110" s="64"/>
      <c r="IS110" s="62" t="s">
        <v>73</v>
      </c>
      <c r="IT110" s="59"/>
      <c r="IU110" s="108" t="s">
        <v>204</v>
      </c>
      <c r="IV110" s="64"/>
      <c r="IW110" s="62" t="s">
        <v>73</v>
      </c>
      <c r="IX110" s="59"/>
      <c r="IY110" s="108" t="s">
        <v>204</v>
      </c>
    </row>
    <row r="111" spans="45:259" ht="13.3" thickTop="1" thickBot="1" x14ac:dyDescent="0.35">
      <c r="AS111" s="1"/>
      <c r="AT111" s="290" t="str" cm="1">
        <f t="array" ref="AT111">IF(AV111="","",INDEX(A$25:$A$49,AV111))</f>
        <v/>
      </c>
      <c r="AU111" s="799" t="str">
        <f t="shared" si="531"/>
        <v/>
      </c>
      <c r="AV111" s="1" t="str">
        <f t="shared" si="532"/>
        <v/>
      </c>
      <c r="AW111" s="678" t="str">
        <f t="shared" si="533"/>
        <v/>
      </c>
      <c r="AX111" s="802" t="str">
        <f t="shared" si="534"/>
        <v/>
      </c>
      <c r="AY111" s="41" t="str">
        <f t="shared" si="535"/>
        <v/>
      </c>
      <c r="AZ111" s="770" t="str">
        <f t="shared" si="536"/>
        <v/>
      </c>
      <c r="EA111" s="33"/>
      <c r="EB111" s="453" t="str">
        <f t="shared" ref="EB111:EB125" si="538">IF(ED111="","",LOOKUP(ED111,$EJ$111:$EJ$125,$EI$111:$EI$125))</f>
        <v/>
      </c>
      <c r="EC111" s="762" t="str">
        <f t="shared" ref="EC111:EC125" si="539">IF(ED111="","",LOOKUP(ED111,$EH$111:$EH$125,$EK$111:$EK$125))</f>
        <v/>
      </c>
      <c r="ED111" s="454" t="str">
        <f>IF(AND(EE111="",EF111="",EG111=""),"",MIN(EE111:EG111))</f>
        <v/>
      </c>
      <c r="EE111" s="468" t="str">
        <f>IF(OR(MIN($EH111:$EH125)="",MIN($EH111:$EH125)=0),"",MIN($EH111:$EH125))</f>
        <v/>
      </c>
      <c r="EF111" s="468" t="str">
        <f>IF(OR(MIN($EH111:$EH125)="",MIN($EH111:$EH125)=0),"",MIN($EH111:$EH125))</f>
        <v/>
      </c>
      <c r="EG111" s="468" t="str">
        <f>IF(OR(MIN($EH111:$EH125)="",MIN($EH111:$EH125)=0),"",MIN($EH111:$EH125))</f>
        <v/>
      </c>
      <c r="EH111" s="454" t="str">
        <f t="shared" ref="EH111:EH125" si="540">IF(OR($EK111="",$EK111=0),"",$EJ111)</f>
        <v/>
      </c>
      <c r="EI111" s="758" t="s">
        <v>150</v>
      </c>
      <c r="EJ111" s="759">
        <v>0.375</v>
      </c>
      <c r="EK111" s="761">
        <f>SUMIF($EM$112:$EM$136,12.6,$EN$112:$EN$136)</f>
        <v>0</v>
      </c>
      <c r="EL111" s="664" t="s">
        <v>502</v>
      </c>
      <c r="EM111" s="520" t="s">
        <v>39</v>
      </c>
      <c r="EN111" s="514" t="s">
        <v>40</v>
      </c>
      <c r="EO111" s="514" t="s">
        <v>40</v>
      </c>
      <c r="EP111" s="457" t="s">
        <v>308</v>
      </c>
      <c r="EQ111" s="33"/>
      <c r="ER111" s="33"/>
      <c r="ES111" s="33"/>
      <c r="ET111" s="33"/>
      <c r="EU111" s="33"/>
      <c r="EV111" s="33"/>
      <c r="EW111" s="33"/>
      <c r="EX111" s="33"/>
      <c r="EY111" s="494" t="s">
        <v>539</v>
      </c>
      <c r="FD111" s="277">
        <f>MAX(FD112:FD136)</f>
        <v>0</v>
      </c>
      <c r="FE111" s="277">
        <f>MAX(FE112:FE136)</f>
        <v>0</v>
      </c>
      <c r="FF111" s="274"/>
      <c r="FG111" s="67"/>
      <c r="FH111" s="111" t="s">
        <v>78</v>
      </c>
      <c r="FI111" s="68"/>
      <c r="FJ111" s="67"/>
      <c r="FK111" s="111" t="s">
        <v>78</v>
      </c>
      <c r="FL111" s="16"/>
      <c r="FM111" s="67"/>
      <c r="FN111" s="67"/>
      <c r="FO111" s="111" t="s">
        <v>78</v>
      </c>
      <c r="FP111" s="16"/>
      <c r="FQ111" s="67"/>
      <c r="FR111" s="67"/>
      <c r="FS111" s="111" t="s">
        <v>78</v>
      </c>
      <c r="FT111" s="16"/>
      <c r="FU111" s="67"/>
      <c r="FV111" s="67"/>
      <c r="FW111" s="111" t="s">
        <v>78</v>
      </c>
      <c r="FX111" s="16"/>
      <c r="FY111" s="67"/>
      <c r="FZ111" s="67"/>
      <c r="GA111" s="111" t="s">
        <v>78</v>
      </c>
      <c r="GB111" s="16"/>
      <c r="GC111" s="67"/>
      <c r="GD111" s="67"/>
      <c r="GE111" s="111" t="s">
        <v>78</v>
      </c>
      <c r="GF111" s="16"/>
      <c r="GG111" s="67"/>
      <c r="GH111" s="67"/>
      <c r="GI111" s="111" t="s">
        <v>78</v>
      </c>
      <c r="GJ111" s="16"/>
      <c r="GK111" s="67"/>
      <c r="GL111" s="67"/>
      <c r="GM111" s="111" t="s">
        <v>78</v>
      </c>
      <c r="GN111" s="16"/>
      <c r="GO111" s="67"/>
      <c r="GP111" s="67"/>
      <c r="GQ111" s="111" t="s">
        <v>78</v>
      </c>
      <c r="GR111" s="16"/>
      <c r="GS111" s="67"/>
      <c r="GT111" s="67"/>
      <c r="GU111" s="111" t="s">
        <v>78</v>
      </c>
      <c r="GV111" s="16"/>
      <c r="GW111" s="67"/>
      <c r="GX111" s="67"/>
      <c r="GY111" s="111" t="s">
        <v>78</v>
      </c>
      <c r="GZ111" s="16"/>
      <c r="HA111" s="67"/>
      <c r="HB111" s="67"/>
      <c r="HC111" s="111" t="s">
        <v>78</v>
      </c>
      <c r="HD111" s="16"/>
      <c r="HE111" s="67"/>
      <c r="HF111" s="67"/>
      <c r="HG111" s="111" t="s">
        <v>78</v>
      </c>
      <c r="HH111" s="16"/>
      <c r="HI111" s="67"/>
      <c r="HJ111" s="67"/>
      <c r="HK111" s="111" t="s">
        <v>78</v>
      </c>
      <c r="HL111" s="16"/>
      <c r="HM111" s="67"/>
      <c r="HN111" s="67"/>
      <c r="HO111" s="111" t="s">
        <v>78</v>
      </c>
      <c r="HP111" s="16"/>
      <c r="HQ111" s="67"/>
      <c r="HR111" s="67"/>
      <c r="HS111" s="111" t="s">
        <v>78</v>
      </c>
      <c r="HT111" s="16"/>
      <c r="HU111" s="67"/>
      <c r="HV111" s="67"/>
      <c r="HW111" s="111" t="s">
        <v>78</v>
      </c>
      <c r="HX111" s="16"/>
      <c r="HY111" s="67"/>
      <c r="HZ111" s="67"/>
      <c r="IA111" s="111" t="s">
        <v>78</v>
      </c>
      <c r="IB111" s="16"/>
      <c r="IC111" s="67"/>
      <c r="ID111" s="67"/>
      <c r="IE111" s="111" t="s">
        <v>78</v>
      </c>
      <c r="IF111" s="16"/>
      <c r="IG111" s="67"/>
      <c r="IH111" s="67"/>
      <c r="II111" s="111" t="s">
        <v>78</v>
      </c>
      <c r="IJ111" s="16"/>
      <c r="IK111" s="67"/>
      <c r="IL111" s="67"/>
      <c r="IM111" s="111" t="s">
        <v>78</v>
      </c>
      <c r="IN111" s="16"/>
      <c r="IO111" s="67"/>
      <c r="IP111" s="67"/>
      <c r="IQ111" s="111" t="s">
        <v>78</v>
      </c>
      <c r="IR111" s="16"/>
      <c r="IS111" s="67"/>
      <c r="IT111" s="67"/>
      <c r="IU111" s="111" t="s">
        <v>78</v>
      </c>
      <c r="IV111" s="16"/>
      <c r="IW111" s="67"/>
      <c r="IX111" s="67"/>
      <c r="IY111" s="111" t="s">
        <v>78</v>
      </c>
    </row>
    <row r="112" spans="45:259" ht="13.3" thickTop="1" thickBot="1" x14ac:dyDescent="0.35">
      <c r="AS112" s="1"/>
      <c r="AT112" s="201" t="s">
        <v>620</v>
      </c>
      <c r="AX112" s="2"/>
      <c r="EA112" s="33"/>
      <c r="EB112" s="453" t="str">
        <f t="shared" si="538"/>
        <v/>
      </c>
      <c r="EC112" s="762" t="str">
        <f t="shared" si="539"/>
        <v/>
      </c>
      <c r="ED112" s="454" t="str">
        <f t="shared" ref="ED112:ED125" si="541">IF(AND(EE112="",EF112="",EG112=""),"",MIN(EE112:EG112))</f>
        <v/>
      </c>
      <c r="EE112" s="455" t="str">
        <f>IF($ED111="","",IF(AND($EH124&lt;&gt;"",$EH124&gt;$ED111),$EH124,IF(AND($EH125&lt;&gt;"",$EH125&gt;$ED111),$EH125,"")))</f>
        <v/>
      </c>
      <c r="EF112" s="455" t="str">
        <f>IF($ED111="","",IF(AND($EH118&lt;&gt;"",$EH118&gt;$ED111),$EH118,IF(AND($EH119&lt;&gt;"",$EH119&gt;$ED111),$EH119,IF(AND($EH120&lt;&gt;"",$EH120&gt;$ED111),$EH120,IF(AND($EH121&lt;&gt;"",$EH121&gt;$ED111),$EH121,IF(AND($EH122&lt;&gt;"",$EH122&gt;$ED111),$EH122,IF(AND($EH123&lt;&gt;"",$EH123&gt;$ED111),$EH123,"")))))))</f>
        <v/>
      </c>
      <c r="EG112" s="454" t="str">
        <f t="shared" ref="EG112:EG120" si="542">IF($ED111="","",IF(AND($EH112&lt;&gt;"",$EH112&gt;$ED111),$EH112,IF(AND($EH113&lt;&gt;"",$EH113&gt;$ED111),$EH113,IF(AND($EH114&lt;&gt;"",$EH114&gt;$ED111),$EH114,IF(AND($EH115&lt;&gt;"",$EH115&gt;$ED111),$EH115,IF(AND($EH116&lt;&gt;"",$EH116&gt;$ED111),$EH116,IF(AND($EH117&lt;&gt;"",$EH117&gt;$ED111),$EH117,"")))))))</f>
        <v/>
      </c>
      <c r="EH112" s="454" t="str">
        <f t="shared" si="540"/>
        <v/>
      </c>
      <c r="EI112" s="760" t="s">
        <v>151</v>
      </c>
      <c r="EJ112" s="759">
        <v>0.5</v>
      </c>
      <c r="EK112" s="761">
        <f>SUMIF($EM$112:$EM$136,16.1,$EN$112:$EN$136)</f>
        <v>0</v>
      </c>
      <c r="EL112" s="522" t="str">
        <f t="shared" ref="EL112:EL136" si="543">E25</f>
        <v/>
      </c>
      <c r="EM112" s="17">
        <f t="shared" ref="EM112:EM136" si="544">IF(W25="",0,W25)</f>
        <v>0</v>
      </c>
      <c r="EN112" s="665">
        <f>EO112*EP112</f>
        <v>0</v>
      </c>
      <c r="EO112" s="665">
        <f t="shared" ref="EO112:EO136" si="545">J25</f>
        <v>0</v>
      </c>
      <c r="EP112" s="458">
        <f t="shared" ref="EP112:EP136" si="546">IF(AR25="",1,AR25)</f>
        <v>1</v>
      </c>
      <c r="EQ112" s="33"/>
      <c r="ER112" s="33"/>
      <c r="ES112" s="33"/>
      <c r="ET112" s="33"/>
      <c r="EU112" s="33"/>
      <c r="EV112" s="33"/>
      <c r="EW112" s="33"/>
      <c r="EX112" s="33"/>
      <c r="EY112" s="33">
        <v>1</v>
      </c>
      <c r="FD112" s="276" t="str">
        <f t="shared" ref="FD112:FD136" si="547">IF(OR(D25="s",FF112="",FG112=""),"",FE112)</f>
        <v/>
      </c>
      <c r="FE112" s="18">
        <f t="shared" ref="FE112:FE136" si="548">FH112+FK112+FO112+FS112+FW112+GA112+GE112+GI112+GM112+GQ112+GU112+GY112+HC112+HG112+HK112+HO112+HS112+HW112+IA112+IE112+II112+IM112+IQ112+IU112+IY112</f>
        <v>0</v>
      </c>
      <c r="FF112" s="275" t="str">
        <f t="shared" ref="FF112:FF136" si="549">IF(OR(F25="",G25=""),"",F25)</f>
        <v/>
      </c>
      <c r="FG112" s="145" t="str">
        <f t="shared" ref="FG112:FG136" si="550">IF(OR(F25="",G25=""),"",G25)</f>
        <v/>
      </c>
      <c r="FH112" s="19">
        <f t="shared" ref="FH112:FH136" si="551">IF(OR($AF25="",$FG112=""),0,$AF25)</f>
        <v>0</v>
      </c>
      <c r="FI112" s="718"/>
      <c r="FJ112" s="701" t="str">
        <f>FJ83</f>
        <v/>
      </c>
      <c r="FK112" s="66">
        <f t="shared" ref="FK112:FK136" si="552">IF(FJ112="",0,LOOKUP(FJ112,$EY$112:$EY$136,$FH$112:$FH$136))</f>
        <v>0</v>
      </c>
      <c r="FL112" s="715"/>
      <c r="FM112" s="716"/>
      <c r="FN112" s="701" t="str">
        <f>FN83</f>
        <v/>
      </c>
      <c r="FO112" s="66">
        <f t="shared" ref="FO112:FO136" si="553">IF(FN112="",0,LOOKUP(FN112,$EY$112:$EY$136,$FH$112:$FH$136))</f>
        <v>0</v>
      </c>
      <c r="FP112" s="715"/>
      <c r="FQ112" s="716"/>
      <c r="FR112" s="701" t="str">
        <f>FR83</f>
        <v/>
      </c>
      <c r="FS112" s="66">
        <f t="shared" ref="FS112:FS136" si="554">IF(FR112="",0,LOOKUP(FR112,$EY$112:$EY$136,$FH$112:$FH$136))</f>
        <v>0</v>
      </c>
      <c r="FT112" s="715"/>
      <c r="FU112" s="716"/>
      <c r="FV112" s="701" t="str">
        <f>FV83</f>
        <v/>
      </c>
      <c r="FW112" s="66">
        <f t="shared" ref="FW112:FW136" si="555">IF(FV112="",0,LOOKUP(FV112,$EY$112:$EY$136,$FH$112:$FH$136))</f>
        <v>0</v>
      </c>
      <c r="FX112" s="715"/>
      <c r="FY112" s="716"/>
      <c r="FZ112" s="701" t="str">
        <f>FZ83</f>
        <v/>
      </c>
      <c r="GA112" s="66">
        <f t="shared" ref="GA112:GA136" si="556">IF(FZ112="",0,LOOKUP(FZ112,$EY$112:$EY$136,$FH$112:$FH$136))</f>
        <v>0</v>
      </c>
      <c r="GB112" s="715"/>
      <c r="GC112" s="716"/>
      <c r="GD112" s="701" t="str">
        <f>GD83</f>
        <v/>
      </c>
      <c r="GE112" s="66">
        <f t="shared" ref="GE112:GE136" si="557">IF(GD112="",0,LOOKUP(GD112,$EY$112:$EY$136,$FH$112:$FH$136))</f>
        <v>0</v>
      </c>
      <c r="GF112" s="715"/>
      <c r="GG112" s="716"/>
      <c r="GH112" s="701" t="str">
        <f>GH83</f>
        <v/>
      </c>
      <c r="GI112" s="66">
        <f t="shared" ref="GI112:GI136" si="558">IF(GH112="",0,LOOKUP(GH112,$EY$112:$EY$136,$FH$112:$FH$136))</f>
        <v>0</v>
      </c>
      <c r="GJ112" s="715"/>
      <c r="GK112" s="716"/>
      <c r="GL112" s="701" t="str">
        <f>GL83</f>
        <v/>
      </c>
      <c r="GM112" s="66">
        <f t="shared" ref="GM112:GM136" si="559">IF(GL112="",0,LOOKUP(GL112,$EY$112:$EY$136,$FH$112:$FH$136))</f>
        <v>0</v>
      </c>
      <c r="GN112" s="715"/>
      <c r="GO112" s="716"/>
      <c r="GP112" s="701" t="str">
        <f>GP83</f>
        <v/>
      </c>
      <c r="GQ112" s="66">
        <f t="shared" ref="GQ112:GQ136" si="560">IF(GP112="",0,LOOKUP(GP112,$EY$112:$EY$136,$FH$112:$FH$136))</f>
        <v>0</v>
      </c>
      <c r="GR112" s="715"/>
      <c r="GS112" s="716"/>
      <c r="GT112" s="701" t="str">
        <f>GT83</f>
        <v/>
      </c>
      <c r="GU112" s="66">
        <f t="shared" ref="GU112:GU136" si="561">IF(GT112="",0,LOOKUP(GT112,$EY$112:$EY$136,$FH$112:$FH$136))</f>
        <v>0</v>
      </c>
      <c r="GV112" s="715"/>
      <c r="GW112" s="716"/>
      <c r="GX112" s="701" t="str">
        <f>GX83</f>
        <v/>
      </c>
      <c r="GY112" s="66">
        <f t="shared" ref="GY112:GY136" si="562">IF(GX112="",0,LOOKUP(GX112,$EY$112:$EY$136,$FH$112:$FH$136))</f>
        <v>0</v>
      </c>
      <c r="GZ112" s="715"/>
      <c r="HA112" s="716"/>
      <c r="HB112" s="701" t="str">
        <f>HB83</f>
        <v/>
      </c>
      <c r="HC112" s="66">
        <f t="shared" ref="HC112:HC136" si="563">IF(HB112="",0,LOOKUP(HB112,$EY$112:$EY$136,$FH$112:$FH$136))</f>
        <v>0</v>
      </c>
      <c r="HD112" s="715"/>
      <c r="HE112" s="716"/>
      <c r="HF112" s="701" t="str">
        <f>HF83</f>
        <v/>
      </c>
      <c r="HG112" s="66">
        <f t="shared" ref="HG112:HG136" si="564">IF(HF112="",0,LOOKUP(HF112,$EY$112:$EY$136,$FH$112:$FH$136))</f>
        <v>0</v>
      </c>
      <c r="HH112" s="715"/>
      <c r="HI112" s="716"/>
      <c r="HJ112" s="701" t="str">
        <f>HJ83</f>
        <v/>
      </c>
      <c r="HK112" s="66">
        <f t="shared" ref="HK112:HK136" si="565">IF(HJ112="",0,LOOKUP(HJ112,$EY$112:$EY$136,$FH$112:$FH$136))</f>
        <v>0</v>
      </c>
      <c r="HL112" s="715"/>
      <c r="HM112" s="716"/>
      <c r="HN112" s="701" t="str">
        <f>HN83</f>
        <v/>
      </c>
      <c r="HO112" s="66">
        <f t="shared" ref="HO112:HO136" si="566">IF(HN112="",0,LOOKUP(HN112,$EY$112:$EY$136,$FH$112:$FH$136))</f>
        <v>0</v>
      </c>
      <c r="HP112" s="715"/>
      <c r="HQ112" s="716"/>
      <c r="HR112" s="701" t="str">
        <f>HR83</f>
        <v/>
      </c>
      <c r="HS112" s="66">
        <f t="shared" ref="HS112:HS136" si="567">IF(HR112="",0,LOOKUP(HR112,$EY$112:$EY$136,$FH$112:$FH$136))</f>
        <v>0</v>
      </c>
      <c r="HT112" s="715"/>
      <c r="HU112" s="716"/>
      <c r="HV112" s="701" t="str">
        <f>HV83</f>
        <v/>
      </c>
      <c r="HW112" s="66">
        <f t="shared" ref="HW112:HW136" si="568">IF(HV112="",0,LOOKUP(HV112,$EY$112:$EY$136,$FH$112:$FH$136))</f>
        <v>0</v>
      </c>
      <c r="HX112" s="715"/>
      <c r="HY112" s="716"/>
      <c r="HZ112" s="701" t="str">
        <f>HZ83</f>
        <v/>
      </c>
      <c r="IA112" s="66">
        <f t="shared" ref="IA112:IA136" si="569">IF(HZ112="",0,LOOKUP(HZ112,$EY$112:$EY$136,$FH$112:$FH$136))</f>
        <v>0</v>
      </c>
      <c r="IB112" s="715"/>
      <c r="IC112" s="716"/>
      <c r="ID112" s="701" t="str">
        <f>ID83</f>
        <v/>
      </c>
      <c r="IE112" s="66">
        <f t="shared" ref="IE112:IE136" si="570">IF(ID112="",0,LOOKUP(ID112,$EY$112:$EY$136,$FH$112:$FH$136))</f>
        <v>0</v>
      </c>
      <c r="IF112" s="715"/>
      <c r="IG112" s="716"/>
      <c r="IH112" s="701" t="str">
        <f>IH83</f>
        <v/>
      </c>
      <c r="II112" s="66">
        <f t="shared" ref="II112:II136" si="571">IF(IH112="",0,LOOKUP(IH112,$EY$112:$EY$136,$FH$112:$FH$136))</f>
        <v>0</v>
      </c>
      <c r="IJ112" s="715"/>
      <c r="IK112" s="716"/>
      <c r="IL112" s="701" t="str">
        <f>IL83</f>
        <v/>
      </c>
      <c r="IM112" s="66">
        <f t="shared" ref="IM112:IM136" si="572">IF(IL112="",0,LOOKUP(IL112,$EY$112:$EY$136,$FH$112:$FH$136))</f>
        <v>0</v>
      </c>
      <c r="IN112" s="715"/>
      <c r="IO112" s="716"/>
      <c r="IP112" s="701" t="str">
        <f>IP83</f>
        <v/>
      </c>
      <c r="IQ112" s="66">
        <f t="shared" ref="IQ112:IQ136" si="573">IF(IP112="",0,LOOKUP(IP112,$EY$112:$EY$136,$FH$112:$FH$136))</f>
        <v>0</v>
      </c>
      <c r="IR112" s="715"/>
      <c r="IS112" s="716"/>
      <c r="IT112" s="701" t="str">
        <f>IT83</f>
        <v/>
      </c>
      <c r="IU112" s="66">
        <f t="shared" ref="IU112:IU136" si="574">IF(IT112="",0,LOOKUP(IT112,$EY$112:$EY$136,$FH$112:$FH$136))</f>
        <v>0</v>
      </c>
      <c r="IV112" s="715"/>
      <c r="IW112" s="716"/>
      <c r="IX112" s="701" t="str">
        <f>IX83</f>
        <v/>
      </c>
      <c r="IY112" s="66">
        <f t="shared" ref="IY112:IY136" si="575">IF(IX112="",0,LOOKUP(IX112,$EY$112:$EY$136,$FH$112:$FH$136))</f>
        <v>0</v>
      </c>
    </row>
    <row r="113" spans="44:259" ht="18.45" thickTop="1" thickBot="1" x14ac:dyDescent="0.35">
      <c r="AS113" s="1"/>
      <c r="AT113" s="818" t="s">
        <v>608</v>
      </c>
      <c r="BA113" s="137" t="s">
        <v>616</v>
      </c>
      <c r="BC113" s="137" t="s">
        <v>617</v>
      </c>
      <c r="BD113" s="816" t="s">
        <v>92</v>
      </c>
      <c r="BE113" s="201"/>
      <c r="BF113" s="137"/>
      <c r="BU113" s="137" t="s">
        <v>626</v>
      </c>
      <c r="BX113" s="181" t="s">
        <v>376</v>
      </c>
      <c r="CA113" s="181" t="s">
        <v>376</v>
      </c>
      <c r="CD113" s="181" t="s">
        <v>376</v>
      </c>
      <c r="CG113" s="181" t="s">
        <v>376</v>
      </c>
      <c r="CJ113" s="181" t="s">
        <v>376</v>
      </c>
      <c r="CM113" s="181" t="s">
        <v>376</v>
      </c>
      <c r="CP113" s="181" t="s">
        <v>376</v>
      </c>
      <c r="CS113" s="181" t="s">
        <v>376</v>
      </c>
      <c r="EA113" s="33"/>
      <c r="EB113" s="453" t="str">
        <f t="shared" si="538"/>
        <v/>
      </c>
      <c r="EC113" s="762" t="str">
        <f t="shared" si="539"/>
        <v/>
      </c>
      <c r="ED113" s="454" t="str">
        <f t="shared" si="541"/>
        <v/>
      </c>
      <c r="EE113" s="454" t="str">
        <f>IF($ED112="","",IF(AND($EH125&lt;&gt;"",$EH125&gt;$ED112),$EH125,""))</f>
        <v/>
      </c>
      <c r="EF113" s="454" t="str">
        <f>IF($ED112="","",IF(AND($EH119&lt;&gt;"",$EH119&gt;$ED112),$EH119,IF(AND($EH120&lt;&gt;"",$EH120&gt;$ED112),$EH120,IF(AND($EH121&lt;&gt;"",$EH121&gt;$ED112),$EH121,IF(AND($EH122&lt;&gt;"",$EH122&gt;$ED112),$EH122,IF(AND($EH123&lt;&gt;"",$EH123&gt;$ED112),$EH123,IF(AND($EH124&lt;&gt;"",$EH124&gt;$ED112),$EH124,"")))))))</f>
        <v/>
      </c>
      <c r="EG113" s="454" t="str">
        <f t="shared" si="542"/>
        <v/>
      </c>
      <c r="EH113" s="454" t="str">
        <f t="shared" si="540"/>
        <v/>
      </c>
      <c r="EI113" s="760" t="s">
        <v>152</v>
      </c>
      <c r="EJ113" s="759">
        <v>0.75</v>
      </c>
      <c r="EK113" s="761">
        <f>SUMIF($EM$112:$EM$136,21.7,$EN$112:$EN$136)</f>
        <v>0</v>
      </c>
      <c r="EL113" s="522" t="str">
        <f t="shared" si="543"/>
        <v/>
      </c>
      <c r="EM113" s="17">
        <f t="shared" si="544"/>
        <v>0</v>
      </c>
      <c r="EN113" s="665">
        <f t="shared" ref="EN113:EN131" si="576">EO113*EP113</f>
        <v>0</v>
      </c>
      <c r="EO113" s="665">
        <f t="shared" si="545"/>
        <v>0</v>
      </c>
      <c r="EP113" s="458">
        <f t="shared" si="546"/>
        <v>1</v>
      </c>
      <c r="EQ113" s="33"/>
      <c r="ER113" s="33"/>
      <c r="ES113" s="33"/>
      <c r="ET113" s="33"/>
      <c r="EU113" s="33"/>
      <c r="EV113" s="33"/>
      <c r="EW113" s="33"/>
      <c r="EX113" s="33"/>
      <c r="EY113" s="33">
        <v>2</v>
      </c>
      <c r="FD113" s="276" t="str">
        <f t="shared" si="547"/>
        <v/>
      </c>
      <c r="FE113" s="18">
        <f t="shared" si="548"/>
        <v>0</v>
      </c>
      <c r="FF113" s="275" t="str">
        <f t="shared" si="549"/>
        <v/>
      </c>
      <c r="FG113" s="145" t="str">
        <f t="shared" si="550"/>
        <v/>
      </c>
      <c r="FH113" s="19">
        <f t="shared" si="551"/>
        <v>0</v>
      </c>
      <c r="FI113" s="718"/>
      <c r="FJ113" s="701" t="str">
        <f t="shared" ref="FJ113:FJ136" si="577">FJ84</f>
        <v/>
      </c>
      <c r="FK113" s="66">
        <f t="shared" si="552"/>
        <v>0</v>
      </c>
      <c r="FL113" s="717"/>
      <c r="FM113" s="716"/>
      <c r="FN113" s="701" t="str">
        <f t="shared" ref="FN113:FN136" si="578">FN84</f>
        <v/>
      </c>
      <c r="FO113" s="66">
        <f t="shared" si="553"/>
        <v>0</v>
      </c>
      <c r="FP113" s="717"/>
      <c r="FQ113" s="716"/>
      <c r="FR113" s="701" t="str">
        <f t="shared" ref="FR113:FR136" si="579">FR84</f>
        <v/>
      </c>
      <c r="FS113" s="66">
        <f t="shared" si="554"/>
        <v>0</v>
      </c>
      <c r="FT113" s="717"/>
      <c r="FU113" s="716"/>
      <c r="FV113" s="701" t="str">
        <f t="shared" ref="FV113:FV136" si="580">FV84</f>
        <v/>
      </c>
      <c r="FW113" s="66">
        <f t="shared" si="555"/>
        <v>0</v>
      </c>
      <c r="FX113" s="717"/>
      <c r="FY113" s="716"/>
      <c r="FZ113" s="701" t="str">
        <f t="shared" ref="FZ113:FZ136" si="581">FZ84</f>
        <v/>
      </c>
      <c r="GA113" s="66">
        <f t="shared" si="556"/>
        <v>0</v>
      </c>
      <c r="GB113" s="717"/>
      <c r="GC113" s="716"/>
      <c r="GD113" s="701" t="str">
        <f t="shared" ref="GD113:GD136" si="582">GD84</f>
        <v/>
      </c>
      <c r="GE113" s="66">
        <f t="shared" si="557"/>
        <v>0</v>
      </c>
      <c r="GF113" s="717"/>
      <c r="GG113" s="716"/>
      <c r="GH113" s="701" t="str">
        <f t="shared" ref="GH113:GH136" si="583">GH84</f>
        <v/>
      </c>
      <c r="GI113" s="66">
        <f t="shared" si="558"/>
        <v>0</v>
      </c>
      <c r="GJ113" s="717"/>
      <c r="GK113" s="716"/>
      <c r="GL113" s="701" t="str">
        <f t="shared" ref="GL113:GL136" si="584">GL84</f>
        <v/>
      </c>
      <c r="GM113" s="66">
        <f t="shared" si="559"/>
        <v>0</v>
      </c>
      <c r="GN113" s="717"/>
      <c r="GO113" s="716"/>
      <c r="GP113" s="701" t="str">
        <f t="shared" ref="GP113:GP136" si="585">GP84</f>
        <v/>
      </c>
      <c r="GQ113" s="66">
        <f t="shared" si="560"/>
        <v>0</v>
      </c>
      <c r="GR113" s="717"/>
      <c r="GS113" s="716"/>
      <c r="GT113" s="701" t="str">
        <f t="shared" ref="GT113:GT136" si="586">GT84</f>
        <v/>
      </c>
      <c r="GU113" s="66">
        <f t="shared" si="561"/>
        <v>0</v>
      </c>
      <c r="GV113" s="717"/>
      <c r="GW113" s="716"/>
      <c r="GX113" s="701" t="str">
        <f t="shared" ref="GX113:GX136" si="587">GX84</f>
        <v/>
      </c>
      <c r="GY113" s="66">
        <f t="shared" si="562"/>
        <v>0</v>
      </c>
      <c r="GZ113" s="717"/>
      <c r="HA113" s="716"/>
      <c r="HB113" s="701" t="str">
        <f t="shared" ref="HB113:HB136" si="588">HB84</f>
        <v/>
      </c>
      <c r="HC113" s="66">
        <f t="shared" si="563"/>
        <v>0</v>
      </c>
      <c r="HD113" s="717"/>
      <c r="HE113" s="716"/>
      <c r="HF113" s="701" t="str">
        <f t="shared" ref="HF113:HF136" si="589">HF84</f>
        <v/>
      </c>
      <c r="HG113" s="66">
        <f t="shared" si="564"/>
        <v>0</v>
      </c>
      <c r="HH113" s="717"/>
      <c r="HI113" s="716"/>
      <c r="HJ113" s="701" t="str">
        <f t="shared" ref="HJ113:HJ136" si="590">HJ84</f>
        <v/>
      </c>
      <c r="HK113" s="66">
        <f t="shared" si="565"/>
        <v>0</v>
      </c>
      <c r="HL113" s="717"/>
      <c r="HM113" s="716"/>
      <c r="HN113" s="701" t="str">
        <f t="shared" ref="HN113:HN136" si="591">HN84</f>
        <v/>
      </c>
      <c r="HO113" s="66">
        <f t="shared" si="566"/>
        <v>0</v>
      </c>
      <c r="HP113" s="717"/>
      <c r="HQ113" s="716"/>
      <c r="HR113" s="701" t="str">
        <f t="shared" ref="HR113:HR136" si="592">HR84</f>
        <v/>
      </c>
      <c r="HS113" s="66">
        <f t="shared" si="567"/>
        <v>0</v>
      </c>
      <c r="HT113" s="717"/>
      <c r="HU113" s="716"/>
      <c r="HV113" s="701" t="str">
        <f t="shared" ref="HV113:HV136" si="593">HV84</f>
        <v/>
      </c>
      <c r="HW113" s="66">
        <f t="shared" si="568"/>
        <v>0</v>
      </c>
      <c r="HX113" s="717"/>
      <c r="HY113" s="716"/>
      <c r="HZ113" s="701" t="str">
        <f t="shared" ref="HZ113:HZ136" si="594">HZ84</f>
        <v/>
      </c>
      <c r="IA113" s="66">
        <f t="shared" si="569"/>
        <v>0</v>
      </c>
      <c r="IB113" s="717"/>
      <c r="IC113" s="716"/>
      <c r="ID113" s="701" t="str">
        <f t="shared" ref="ID113:ID136" si="595">ID84</f>
        <v/>
      </c>
      <c r="IE113" s="66">
        <f t="shared" si="570"/>
        <v>0</v>
      </c>
      <c r="IF113" s="717"/>
      <c r="IG113" s="716"/>
      <c r="IH113" s="701" t="str">
        <f t="shared" ref="IH113:IH136" si="596">IH84</f>
        <v/>
      </c>
      <c r="II113" s="66">
        <f t="shared" si="571"/>
        <v>0</v>
      </c>
      <c r="IJ113" s="717"/>
      <c r="IK113" s="716"/>
      <c r="IL113" s="701" t="str">
        <f t="shared" ref="IL113:IL136" si="597">IL84</f>
        <v/>
      </c>
      <c r="IM113" s="66">
        <f t="shared" si="572"/>
        <v>0</v>
      </c>
      <c r="IN113" s="717"/>
      <c r="IO113" s="716"/>
      <c r="IP113" s="701" t="str">
        <f t="shared" ref="IP113:IP136" si="598">IP84</f>
        <v/>
      </c>
      <c r="IQ113" s="66">
        <f t="shared" si="573"/>
        <v>0</v>
      </c>
      <c r="IR113" s="717"/>
      <c r="IS113" s="716"/>
      <c r="IT113" s="701" t="str">
        <f t="shared" ref="IT113:IT136" si="599">IT84</f>
        <v/>
      </c>
      <c r="IU113" s="66">
        <f t="shared" si="574"/>
        <v>0</v>
      </c>
      <c r="IV113" s="717"/>
      <c r="IW113" s="716"/>
      <c r="IX113" s="701" t="str">
        <f t="shared" ref="IX113:IX136" si="600">IX84</f>
        <v/>
      </c>
      <c r="IY113" s="66">
        <f t="shared" si="575"/>
        <v>0</v>
      </c>
    </row>
    <row r="114" spans="44:259" ht="18" customHeight="1" thickTop="1" thickBot="1" x14ac:dyDescent="0.55000000000000004">
      <c r="AS114" s="1"/>
      <c r="AT114" s="241"/>
      <c r="AX114" s="181" t="s">
        <v>336</v>
      </c>
      <c r="AY114" s="798" t="s">
        <v>486</v>
      </c>
      <c r="BA114" s="506" t="s">
        <v>615</v>
      </c>
      <c r="BB114" s="137" t="s">
        <v>618</v>
      </c>
      <c r="BC114" s="142" t="s">
        <v>279</v>
      </c>
      <c r="BD114" s="506" t="s">
        <v>560</v>
      </c>
      <c r="BH114" s="137" t="s">
        <v>623</v>
      </c>
      <c r="BM114" s="44">
        <v>1</v>
      </c>
      <c r="BN114" s="44">
        <v>2</v>
      </c>
      <c r="BO114" s="44">
        <v>3</v>
      </c>
      <c r="BP114" s="44">
        <v>4</v>
      </c>
      <c r="BQ114" s="44">
        <v>5</v>
      </c>
      <c r="BR114" s="44">
        <v>6</v>
      </c>
      <c r="BS114" s="44">
        <v>7</v>
      </c>
      <c r="BT114" s="44">
        <v>8</v>
      </c>
      <c r="BU114" s="137" t="s">
        <v>627</v>
      </c>
      <c r="BX114" s="95" t="s">
        <v>40</v>
      </c>
      <c r="BY114" s="829"/>
      <c r="BZ114" s="830">
        <v>1</v>
      </c>
      <c r="CA114" s="95" t="s">
        <v>40</v>
      </c>
      <c r="CB114" s="829"/>
      <c r="CC114" s="830">
        <v>2</v>
      </c>
      <c r="CD114" s="95" t="s">
        <v>40</v>
      </c>
      <c r="CE114" s="829"/>
      <c r="CF114" s="830">
        <v>3</v>
      </c>
      <c r="CG114" s="95" t="s">
        <v>40</v>
      </c>
      <c r="CH114" s="829"/>
      <c r="CI114" s="830">
        <v>4</v>
      </c>
      <c r="CJ114" s="95" t="s">
        <v>40</v>
      </c>
      <c r="CK114" s="829"/>
      <c r="CL114" s="830">
        <v>5</v>
      </c>
      <c r="CM114" s="95" t="s">
        <v>40</v>
      </c>
      <c r="CN114" s="829"/>
      <c r="CO114" s="830">
        <v>6</v>
      </c>
      <c r="CP114" s="95" t="s">
        <v>40</v>
      </c>
      <c r="CQ114" s="829"/>
      <c r="CR114" s="830">
        <v>7</v>
      </c>
      <c r="CS114" s="95" t="s">
        <v>40</v>
      </c>
      <c r="CT114" s="829"/>
      <c r="CU114" s="830">
        <v>8</v>
      </c>
      <c r="EA114" s="33"/>
      <c r="EB114" s="453" t="str">
        <f t="shared" si="538"/>
        <v/>
      </c>
      <c r="EC114" s="762" t="str">
        <f t="shared" si="539"/>
        <v/>
      </c>
      <c r="ED114" s="454" t="str">
        <f t="shared" si="541"/>
        <v/>
      </c>
      <c r="EE114" s="469"/>
      <c r="EF114" s="454" t="str">
        <f>IF($ED113="","",IF(AND($EH120&lt;&gt;"",$EH120&gt;$ED113),$EH120,IF(AND($EH121&lt;&gt;"",$EH121&gt;$ED113),$EH121,IF(AND($EH122&lt;&gt;"",$EH122&gt;$ED113),$EH122,IF(AND($EH123&lt;&gt;"",$EH123&gt;$ED113),$EH123,IF(AND($EH124&lt;&gt;"",$EH124&gt;$ED113),$EH124,IF(AND($EH125&lt;&gt;"",$EH125&gt;$ED113),$EH125,"")))))))</f>
        <v/>
      </c>
      <c r="EG114" s="454" t="str">
        <f t="shared" si="542"/>
        <v/>
      </c>
      <c r="EH114" s="454" t="str">
        <f t="shared" si="540"/>
        <v/>
      </c>
      <c r="EI114" s="760" t="s">
        <v>153</v>
      </c>
      <c r="EJ114" s="759">
        <v>1</v>
      </c>
      <c r="EK114" s="761">
        <f>SUMIF($EM$112:$EM$136,27.3,$EN$112:$EN$136)</f>
        <v>0</v>
      </c>
      <c r="EL114" s="522" t="str">
        <f t="shared" si="543"/>
        <v/>
      </c>
      <c r="EM114" s="17">
        <f t="shared" si="544"/>
        <v>0</v>
      </c>
      <c r="EN114" s="665">
        <f t="shared" si="576"/>
        <v>0</v>
      </c>
      <c r="EO114" s="665">
        <f t="shared" si="545"/>
        <v>0</v>
      </c>
      <c r="EP114" s="458">
        <f t="shared" si="546"/>
        <v>1</v>
      </c>
      <c r="EQ114" s="33"/>
      <c r="ER114" s="33"/>
      <c r="ES114" s="33"/>
      <c r="ET114" s="33"/>
      <c r="EU114" s="33"/>
      <c r="EV114" s="33"/>
      <c r="EW114" s="33"/>
      <c r="EX114" s="33"/>
      <c r="EY114" s="33">
        <v>3</v>
      </c>
      <c r="FD114" s="276" t="str">
        <f t="shared" si="547"/>
        <v/>
      </c>
      <c r="FE114" s="18">
        <f t="shared" si="548"/>
        <v>0</v>
      </c>
      <c r="FF114" s="275" t="str">
        <f t="shared" si="549"/>
        <v/>
      </c>
      <c r="FG114" s="145" t="str">
        <f t="shared" si="550"/>
        <v/>
      </c>
      <c r="FH114" s="19">
        <f t="shared" si="551"/>
        <v>0</v>
      </c>
      <c r="FI114" s="718"/>
      <c r="FJ114" s="701" t="str">
        <f t="shared" si="577"/>
        <v/>
      </c>
      <c r="FK114" s="66">
        <f t="shared" si="552"/>
        <v>0</v>
      </c>
      <c r="FL114" s="717"/>
      <c r="FM114" s="716"/>
      <c r="FN114" s="701" t="str">
        <f t="shared" si="578"/>
        <v/>
      </c>
      <c r="FO114" s="66">
        <f t="shared" si="553"/>
        <v>0</v>
      </c>
      <c r="FP114" s="717"/>
      <c r="FQ114" s="716"/>
      <c r="FR114" s="701" t="str">
        <f t="shared" si="579"/>
        <v/>
      </c>
      <c r="FS114" s="66">
        <f t="shared" si="554"/>
        <v>0</v>
      </c>
      <c r="FT114" s="717"/>
      <c r="FU114" s="716"/>
      <c r="FV114" s="701" t="str">
        <f t="shared" si="580"/>
        <v/>
      </c>
      <c r="FW114" s="66">
        <f t="shared" si="555"/>
        <v>0</v>
      </c>
      <c r="FX114" s="717"/>
      <c r="FY114" s="716"/>
      <c r="FZ114" s="701" t="str">
        <f t="shared" si="581"/>
        <v/>
      </c>
      <c r="GA114" s="66">
        <f t="shared" si="556"/>
        <v>0</v>
      </c>
      <c r="GB114" s="717"/>
      <c r="GC114" s="716"/>
      <c r="GD114" s="701" t="str">
        <f t="shared" si="582"/>
        <v/>
      </c>
      <c r="GE114" s="66">
        <f t="shared" si="557"/>
        <v>0</v>
      </c>
      <c r="GF114" s="717"/>
      <c r="GG114" s="716"/>
      <c r="GH114" s="701" t="str">
        <f t="shared" si="583"/>
        <v/>
      </c>
      <c r="GI114" s="66">
        <f t="shared" si="558"/>
        <v>0</v>
      </c>
      <c r="GJ114" s="717"/>
      <c r="GK114" s="716"/>
      <c r="GL114" s="701" t="str">
        <f t="shared" si="584"/>
        <v/>
      </c>
      <c r="GM114" s="66">
        <f t="shared" si="559"/>
        <v>0</v>
      </c>
      <c r="GN114" s="717"/>
      <c r="GO114" s="716"/>
      <c r="GP114" s="701" t="str">
        <f t="shared" si="585"/>
        <v/>
      </c>
      <c r="GQ114" s="66">
        <f t="shared" si="560"/>
        <v>0</v>
      </c>
      <c r="GR114" s="717"/>
      <c r="GS114" s="716"/>
      <c r="GT114" s="701" t="str">
        <f t="shared" si="586"/>
        <v/>
      </c>
      <c r="GU114" s="66">
        <f t="shared" si="561"/>
        <v>0</v>
      </c>
      <c r="GV114" s="717"/>
      <c r="GW114" s="716"/>
      <c r="GX114" s="701" t="str">
        <f t="shared" si="587"/>
        <v/>
      </c>
      <c r="GY114" s="66">
        <f t="shared" si="562"/>
        <v>0</v>
      </c>
      <c r="GZ114" s="717"/>
      <c r="HA114" s="716"/>
      <c r="HB114" s="701" t="str">
        <f t="shared" si="588"/>
        <v/>
      </c>
      <c r="HC114" s="66">
        <f t="shared" si="563"/>
        <v>0</v>
      </c>
      <c r="HD114" s="717"/>
      <c r="HE114" s="716"/>
      <c r="HF114" s="701" t="str">
        <f t="shared" si="589"/>
        <v/>
      </c>
      <c r="HG114" s="66">
        <f t="shared" si="564"/>
        <v>0</v>
      </c>
      <c r="HH114" s="717"/>
      <c r="HI114" s="716"/>
      <c r="HJ114" s="701" t="str">
        <f t="shared" si="590"/>
        <v/>
      </c>
      <c r="HK114" s="66">
        <f t="shared" si="565"/>
        <v>0</v>
      </c>
      <c r="HL114" s="717"/>
      <c r="HM114" s="716"/>
      <c r="HN114" s="701" t="str">
        <f t="shared" si="591"/>
        <v/>
      </c>
      <c r="HO114" s="66">
        <f t="shared" si="566"/>
        <v>0</v>
      </c>
      <c r="HP114" s="717"/>
      <c r="HQ114" s="716"/>
      <c r="HR114" s="701" t="str">
        <f t="shared" si="592"/>
        <v/>
      </c>
      <c r="HS114" s="66">
        <f t="shared" si="567"/>
        <v>0</v>
      </c>
      <c r="HT114" s="717"/>
      <c r="HU114" s="716"/>
      <c r="HV114" s="701" t="str">
        <f t="shared" si="593"/>
        <v/>
      </c>
      <c r="HW114" s="66">
        <f t="shared" si="568"/>
        <v>0</v>
      </c>
      <c r="HX114" s="717"/>
      <c r="HY114" s="716"/>
      <c r="HZ114" s="701" t="str">
        <f t="shared" si="594"/>
        <v/>
      </c>
      <c r="IA114" s="66">
        <f t="shared" si="569"/>
        <v>0</v>
      </c>
      <c r="IB114" s="717"/>
      <c r="IC114" s="716"/>
      <c r="ID114" s="701" t="str">
        <f t="shared" si="595"/>
        <v/>
      </c>
      <c r="IE114" s="66">
        <f t="shared" si="570"/>
        <v>0</v>
      </c>
      <c r="IF114" s="717"/>
      <c r="IG114" s="716"/>
      <c r="IH114" s="701" t="str">
        <f t="shared" si="596"/>
        <v/>
      </c>
      <c r="II114" s="66">
        <f t="shared" si="571"/>
        <v>0</v>
      </c>
      <c r="IJ114" s="717"/>
      <c r="IK114" s="716"/>
      <c r="IL114" s="701" t="str">
        <f t="shared" si="597"/>
        <v/>
      </c>
      <c r="IM114" s="66">
        <f t="shared" si="572"/>
        <v>0</v>
      </c>
      <c r="IN114" s="717"/>
      <c r="IO114" s="716"/>
      <c r="IP114" s="701" t="str">
        <f t="shared" si="598"/>
        <v/>
      </c>
      <c r="IQ114" s="66">
        <f t="shared" si="573"/>
        <v>0</v>
      </c>
      <c r="IR114" s="717"/>
      <c r="IS114" s="716"/>
      <c r="IT114" s="701" t="str">
        <f t="shared" si="599"/>
        <v/>
      </c>
      <c r="IU114" s="66">
        <f t="shared" si="574"/>
        <v>0</v>
      </c>
      <c r="IV114" s="717"/>
      <c r="IW114" s="716"/>
      <c r="IX114" s="701" t="str">
        <f t="shared" si="600"/>
        <v/>
      </c>
      <c r="IY114" s="66">
        <f t="shared" si="575"/>
        <v>0</v>
      </c>
    </row>
    <row r="115" spans="44:259" ht="13.3" thickTop="1" thickBot="1" x14ac:dyDescent="0.35">
      <c r="AS115" s="1"/>
      <c r="AT115" s="241" t="s">
        <v>613</v>
      </c>
      <c r="AU115" s="763" t="s">
        <v>582</v>
      </c>
      <c r="AV115" s="137" t="s">
        <v>619</v>
      </c>
      <c r="AW115" s="1"/>
      <c r="AX115" s="514" t="str">
        <f>AC24</f>
        <v>kPa</v>
      </c>
      <c r="AY115" s="519" t="str">
        <f>AY100</f>
        <v>l/min</v>
      </c>
      <c r="AZ115" s="290" t="s">
        <v>91</v>
      </c>
      <c r="BA115" s="518" t="str">
        <f>AV84</f>
        <v>l/min</v>
      </c>
      <c r="BB115" s="240" t="str">
        <f>IF(OR(BD125="",BD126="",BD126&lt;BD125/2),"",BD125-BD126)</f>
        <v/>
      </c>
      <c r="BC115" s="820">
        <f>SUM(BC116:BC124)</f>
        <v>0</v>
      </c>
      <c r="BD115" s="240">
        <f>IF($AU$7="","",$AU$7)</f>
        <v>5</v>
      </c>
      <c r="BE115" s="1461" t="s">
        <v>91</v>
      </c>
      <c r="BF115" s="1462" t="s">
        <v>965</v>
      </c>
      <c r="BG115" s="1">
        <v>1</v>
      </c>
      <c r="BH115" s="756" t="str">
        <f>IF(OR($AT$116="",$BB$80=""),"",IF(LOOKUP($BB$80,$DN$54:$DN$78,DT$54:DT$78)="S1","",LOOKUP($BB$80,$DN$54:$DN$78,DT$54:DT$78)))</f>
        <v/>
      </c>
      <c r="BI115" s="756" t="str">
        <f>IF(AND(LEN(BH115)&gt;1,LEFT(BH115,1)="s",OR(RIGHT(BH115,1)="0",RIGHT(BH115,1)="1",RIGHT(BH115,1)="2",RIGHT(BH115,1)="3",RIGHT(BH115,1)="4",RIGHT(BH115,1)="5",RIGHT(BH115,1)="6",RIGHT(BH115,1)="7",RIGHT(BH115,1)="8",RIGHT(BH115,1)="9")),"",BH115)</f>
        <v/>
      </c>
      <c r="BK115" s="1488">
        <f>IF(BL115=0,1,VLOOKUP(BL115,$AZ$116:$BD$124,5,FALSE))</f>
        <v>1</v>
      </c>
      <c r="BL115" s="827">
        <f t="shared" ref="BL115:BL139" si="601">IF(OR(F25="",F25=$AT$116,DP25=1,D25&lt;&gt;"s"),0,SUM(BM115:BT115)+BU115)</f>
        <v>0</v>
      </c>
      <c r="BM115" s="216">
        <f>IF($BI$115="",0,COUNTIF($DT25:$ER25,$BI$115))</f>
        <v>0</v>
      </c>
      <c r="BN115" s="216">
        <f t="shared" ref="BN115:BN139" si="602">IF($BI$116="",0,COUNTIF($DT25:$ER25,$BI$116))</f>
        <v>0</v>
      </c>
      <c r="BO115" s="216">
        <f t="shared" ref="BO115:BO139" si="603">IF($BI$117="",0,COUNTIF($DT25:$ER25,$BI$117))</f>
        <v>0</v>
      </c>
      <c r="BP115" s="216">
        <f t="shared" ref="BP115:BP139" si="604">IF($BI$118="",0,COUNTIF($DT25:$ER25,$BI$118))</f>
        <v>0</v>
      </c>
      <c r="BQ115" s="216">
        <f t="shared" ref="BQ115:BQ139" si="605">IF($BI$119="",0,COUNTIF($DT25:$ER25,$BI$119))</f>
        <v>0</v>
      </c>
      <c r="BR115" s="216">
        <f t="shared" ref="BR115:BR139" si="606">IF($BI$120="",0,COUNTIF($DT25:$ER25,$BI$120))</f>
        <v>0</v>
      </c>
      <c r="BS115" s="216">
        <f t="shared" ref="BS115:BS139" si="607">IF($BI$121="",0,COUNTIF($DT25:$ER25,$BI$121))</f>
        <v>0</v>
      </c>
      <c r="BT115" s="216">
        <f t="shared" ref="BT115:BT139" si="608">IF($BI$122="",0,COUNTIF($DT25:$ER25,$BI$122))</f>
        <v>0</v>
      </c>
      <c r="BU115" s="827">
        <f>BZ115+CC115+CF115+CI115+CL115+CO115+CR115+CU115</f>
        <v>0</v>
      </c>
      <c r="BV115" s="828">
        <f t="shared" ref="BV115:BV139" si="609">F25</f>
        <v>0</v>
      </c>
      <c r="BW115" s="828">
        <f t="shared" ref="BW115:BW139" si="610">G25</f>
        <v>0</v>
      </c>
      <c r="BX115" s="1">
        <f t="shared" ref="BX115:BX139" si="611">IF(OR($BV115=0,D25&lt;&gt;"s"),0,IF($BV115=$BI$115,$J25,0))</f>
        <v>0</v>
      </c>
      <c r="BY115" s="1">
        <f>IF($BX$140=0,0,IF(BX115=$BX$140,1,0))</f>
        <v>0</v>
      </c>
      <c r="BZ115" s="827">
        <f>IF($BY$141="",0,COUNTIF($DT25:$ER25,$BY$141))</f>
        <v>0</v>
      </c>
      <c r="CA115" s="1">
        <f t="shared" ref="CA115:CA139" si="612">IF(OR($BV115=0,D25&lt;&gt;"s"),0,IF($BV115=$BI$116,$J25,0))</f>
        <v>0</v>
      </c>
      <c r="CB115" s="1">
        <f>IF($CA$140=0,0,IF(CA115=$CA$140,1,0))</f>
        <v>0</v>
      </c>
      <c r="CC115" s="827">
        <f>IF($CB$141="",0,COUNTIF($DT25:$ER25,$CB$141))</f>
        <v>0</v>
      </c>
      <c r="CD115" s="1">
        <f t="shared" ref="CD115:CD139" si="613">IF(OR($BV115=0,D25&lt;&gt;"s"),0,IF($BV115=$BI$117,$J25,0))</f>
        <v>0</v>
      </c>
      <c r="CE115" s="1">
        <f>IF($CD$140=0,0,IF(CD115=$CD$140,1,0))</f>
        <v>0</v>
      </c>
      <c r="CF115" s="827">
        <f>IF($CE$141="",0,COUNTIF($DT25:$ER25,$CE$141))</f>
        <v>0</v>
      </c>
      <c r="CG115" s="1">
        <f t="shared" ref="CG115:CG139" si="614">IF(OR($BV115=0,D25&lt;&gt;"s"),0,IF($BV115=$BI$118,$J25,0))</f>
        <v>0</v>
      </c>
      <c r="CH115" s="1">
        <f>IF($CG$140=0,0,IF(CG115=$CG$140,1,0))</f>
        <v>0</v>
      </c>
      <c r="CI115" s="827">
        <f>IF($CH$141="",0,COUNTIF($DT25:$ER25,$CH$141))</f>
        <v>0</v>
      </c>
      <c r="CJ115" s="1">
        <f t="shared" ref="CJ115:CJ139" si="615">IF(OR($BV115=0,D25&lt;&gt;"s"),0,IF($BV115=$BI$119,$J25,0))</f>
        <v>0</v>
      </c>
      <c r="CK115" s="1">
        <f>IF($CJ$140=0,0,IF(CJ115=$CJ$140,1,0))</f>
        <v>0</v>
      </c>
      <c r="CL115" s="827">
        <f>IF($CK$141="",0,COUNTIF($DT25:$ER25,$CK$141))</f>
        <v>0</v>
      </c>
      <c r="CM115" s="1">
        <f t="shared" ref="CM115:CM139" si="616">IF(OR($BV115=0,D25&lt;&gt;"s"),0,IF($BV115=$BI$120,$J25,0))</f>
        <v>0</v>
      </c>
      <c r="CN115" s="1">
        <f>IF($CM$140=0,0,IF(CM115=$CM$140,1,0))</f>
        <v>0</v>
      </c>
      <c r="CO115" s="827">
        <f>IF($CN$141="",0,COUNTIF($DT25:$ER25,$CN$141))</f>
        <v>0</v>
      </c>
      <c r="CP115" s="1">
        <f t="shared" ref="CP115:CP139" si="617">IF(OR($BV115=0,D25&lt;&gt;"s"),0,IF($BV115=$BI$121,$J25,0))</f>
        <v>0</v>
      </c>
      <c r="CQ115" s="1">
        <f>IF($CP$140=0,0,IF(CP115=$CP$140,1,0))</f>
        <v>0</v>
      </c>
      <c r="CR115" s="827">
        <f>IF($CQ$141="",0,COUNTIF($DT25:$ER25,$CQ$141))</f>
        <v>0</v>
      </c>
      <c r="CS115" s="1">
        <f t="shared" ref="CS115:CS139" si="618">IF(OR($BV115=0,D25&lt;&gt;"s"),0,IF($BV115=$BI$122,$J25,0))</f>
        <v>0</v>
      </c>
      <c r="CT115" s="1">
        <f>IF($CS$140=0,0,IF(CS115=$CS$140,1,0))</f>
        <v>0</v>
      </c>
      <c r="CU115" s="827">
        <f>IF($CT$141="",0,COUNTIF($DT25:$ER25,$CT$141))</f>
        <v>0</v>
      </c>
      <c r="EA115" s="33"/>
      <c r="EB115" s="453" t="str">
        <f t="shared" si="538"/>
        <v/>
      </c>
      <c r="EC115" s="762" t="str">
        <f t="shared" si="539"/>
        <v/>
      </c>
      <c r="ED115" s="454" t="str">
        <f t="shared" si="541"/>
        <v/>
      </c>
      <c r="EE115" s="469"/>
      <c r="EF115" s="454" t="str">
        <f>IF($ED114="","",IF(AND($EH121&lt;&gt;"",$EH121&gt;$ED114),$EH121,IF(AND($EH122&lt;&gt;"",$EH122&gt;$ED114),$EH122,IF(AND($EH123&lt;&gt;"",$EH123&gt;$ED114),$EH123,IF(AND($EH124&lt;&gt;"",$EH124&gt;$ED114),$EH124,IF(AND($EH125&lt;&gt;"",$EH125&gt;$ED114),$EH125,""))))))</f>
        <v/>
      </c>
      <c r="EG115" s="454" t="str">
        <f t="shared" si="542"/>
        <v/>
      </c>
      <c r="EH115" s="454" t="str">
        <f t="shared" si="540"/>
        <v/>
      </c>
      <c r="EI115" s="760" t="s">
        <v>154</v>
      </c>
      <c r="EJ115" s="759">
        <v>1.25</v>
      </c>
      <c r="EK115" s="761">
        <f>SUMIF($EM$112:$EM$136,36,$EN$112:$EN$136)</f>
        <v>0</v>
      </c>
      <c r="EL115" s="522" t="str">
        <f t="shared" si="543"/>
        <v/>
      </c>
      <c r="EM115" s="17">
        <f t="shared" si="544"/>
        <v>0</v>
      </c>
      <c r="EN115" s="665">
        <f t="shared" si="576"/>
        <v>0</v>
      </c>
      <c r="EO115" s="665">
        <f t="shared" si="545"/>
        <v>0</v>
      </c>
      <c r="EP115" s="458">
        <f t="shared" si="546"/>
        <v>1</v>
      </c>
      <c r="EQ115" s="33"/>
      <c r="ER115" s="33"/>
      <c r="ES115" s="33"/>
      <c r="ET115" s="33"/>
      <c r="EU115" s="33"/>
      <c r="EV115" s="33"/>
      <c r="EW115" s="33"/>
      <c r="EX115" s="33"/>
      <c r="EY115" s="33">
        <v>4</v>
      </c>
      <c r="FD115" s="276" t="str">
        <f t="shared" si="547"/>
        <v/>
      </c>
      <c r="FE115" s="18">
        <f t="shared" si="548"/>
        <v>0</v>
      </c>
      <c r="FF115" s="275" t="str">
        <f t="shared" si="549"/>
        <v/>
      </c>
      <c r="FG115" s="145" t="str">
        <f t="shared" si="550"/>
        <v/>
      </c>
      <c r="FH115" s="19">
        <f t="shared" si="551"/>
        <v>0</v>
      </c>
      <c r="FI115" s="718"/>
      <c r="FJ115" s="701" t="str">
        <f t="shared" si="577"/>
        <v/>
      </c>
      <c r="FK115" s="66">
        <f t="shared" si="552"/>
        <v>0</v>
      </c>
      <c r="FL115" s="717"/>
      <c r="FM115" s="716"/>
      <c r="FN115" s="701" t="str">
        <f t="shared" si="578"/>
        <v/>
      </c>
      <c r="FO115" s="66">
        <f t="shared" si="553"/>
        <v>0</v>
      </c>
      <c r="FP115" s="717"/>
      <c r="FQ115" s="716"/>
      <c r="FR115" s="701" t="str">
        <f t="shared" si="579"/>
        <v/>
      </c>
      <c r="FS115" s="66">
        <f t="shared" si="554"/>
        <v>0</v>
      </c>
      <c r="FT115" s="717"/>
      <c r="FU115" s="716"/>
      <c r="FV115" s="701" t="str">
        <f t="shared" si="580"/>
        <v/>
      </c>
      <c r="FW115" s="66">
        <f t="shared" si="555"/>
        <v>0</v>
      </c>
      <c r="FX115" s="717"/>
      <c r="FY115" s="716"/>
      <c r="FZ115" s="701" t="str">
        <f t="shared" si="581"/>
        <v/>
      </c>
      <c r="GA115" s="66">
        <f t="shared" si="556"/>
        <v>0</v>
      </c>
      <c r="GB115" s="717"/>
      <c r="GC115" s="716"/>
      <c r="GD115" s="701" t="str">
        <f t="shared" si="582"/>
        <v/>
      </c>
      <c r="GE115" s="66">
        <f t="shared" si="557"/>
        <v>0</v>
      </c>
      <c r="GF115" s="717"/>
      <c r="GG115" s="716"/>
      <c r="GH115" s="701" t="str">
        <f t="shared" si="583"/>
        <v/>
      </c>
      <c r="GI115" s="66">
        <f t="shared" si="558"/>
        <v>0</v>
      </c>
      <c r="GJ115" s="717"/>
      <c r="GK115" s="716"/>
      <c r="GL115" s="701" t="str">
        <f t="shared" si="584"/>
        <v/>
      </c>
      <c r="GM115" s="66">
        <f t="shared" si="559"/>
        <v>0</v>
      </c>
      <c r="GN115" s="717"/>
      <c r="GO115" s="716"/>
      <c r="GP115" s="701" t="str">
        <f t="shared" si="585"/>
        <v/>
      </c>
      <c r="GQ115" s="66">
        <f t="shared" si="560"/>
        <v>0</v>
      </c>
      <c r="GR115" s="717"/>
      <c r="GS115" s="716"/>
      <c r="GT115" s="701" t="str">
        <f t="shared" si="586"/>
        <v/>
      </c>
      <c r="GU115" s="66">
        <f t="shared" si="561"/>
        <v>0</v>
      </c>
      <c r="GV115" s="717"/>
      <c r="GW115" s="716"/>
      <c r="GX115" s="701" t="str">
        <f t="shared" si="587"/>
        <v/>
      </c>
      <c r="GY115" s="66">
        <f t="shared" si="562"/>
        <v>0</v>
      </c>
      <c r="GZ115" s="717"/>
      <c r="HA115" s="716"/>
      <c r="HB115" s="701" t="str">
        <f t="shared" si="588"/>
        <v/>
      </c>
      <c r="HC115" s="66">
        <f t="shared" si="563"/>
        <v>0</v>
      </c>
      <c r="HD115" s="717"/>
      <c r="HE115" s="716"/>
      <c r="HF115" s="701" t="str">
        <f t="shared" si="589"/>
        <v/>
      </c>
      <c r="HG115" s="66">
        <f t="shared" si="564"/>
        <v>0</v>
      </c>
      <c r="HH115" s="717"/>
      <c r="HI115" s="716"/>
      <c r="HJ115" s="701" t="str">
        <f t="shared" si="590"/>
        <v/>
      </c>
      <c r="HK115" s="66">
        <f t="shared" si="565"/>
        <v>0</v>
      </c>
      <c r="HL115" s="717"/>
      <c r="HM115" s="716"/>
      <c r="HN115" s="701" t="str">
        <f t="shared" si="591"/>
        <v/>
      </c>
      <c r="HO115" s="66">
        <f t="shared" si="566"/>
        <v>0</v>
      </c>
      <c r="HP115" s="717"/>
      <c r="HQ115" s="716"/>
      <c r="HR115" s="701" t="str">
        <f t="shared" si="592"/>
        <v/>
      </c>
      <c r="HS115" s="66">
        <f t="shared" si="567"/>
        <v>0</v>
      </c>
      <c r="HT115" s="717"/>
      <c r="HU115" s="716"/>
      <c r="HV115" s="701" t="str">
        <f t="shared" si="593"/>
        <v/>
      </c>
      <c r="HW115" s="66">
        <f t="shared" si="568"/>
        <v>0</v>
      </c>
      <c r="HX115" s="717"/>
      <c r="HY115" s="716"/>
      <c r="HZ115" s="701" t="str">
        <f t="shared" si="594"/>
        <v/>
      </c>
      <c r="IA115" s="66">
        <f t="shared" si="569"/>
        <v>0</v>
      </c>
      <c r="IB115" s="717"/>
      <c r="IC115" s="716"/>
      <c r="ID115" s="701" t="str">
        <f t="shared" si="595"/>
        <v/>
      </c>
      <c r="IE115" s="66">
        <f t="shared" si="570"/>
        <v>0</v>
      </c>
      <c r="IF115" s="717"/>
      <c r="IG115" s="716"/>
      <c r="IH115" s="701" t="str">
        <f t="shared" si="596"/>
        <v/>
      </c>
      <c r="II115" s="66">
        <f t="shared" si="571"/>
        <v>0</v>
      </c>
      <c r="IJ115" s="717"/>
      <c r="IK115" s="716"/>
      <c r="IL115" s="701" t="str">
        <f t="shared" si="597"/>
        <v/>
      </c>
      <c r="IM115" s="66">
        <f t="shared" si="572"/>
        <v>0</v>
      </c>
      <c r="IN115" s="717"/>
      <c r="IO115" s="716"/>
      <c r="IP115" s="701" t="str">
        <f t="shared" si="598"/>
        <v/>
      </c>
      <c r="IQ115" s="66">
        <f t="shared" si="573"/>
        <v>0</v>
      </c>
      <c r="IR115" s="717"/>
      <c r="IS115" s="716"/>
      <c r="IT115" s="701" t="str">
        <f t="shared" si="599"/>
        <v/>
      </c>
      <c r="IU115" s="66">
        <f t="shared" si="574"/>
        <v>0</v>
      </c>
      <c r="IV115" s="717"/>
      <c r="IW115" s="716"/>
      <c r="IX115" s="701" t="str">
        <f t="shared" si="600"/>
        <v/>
      </c>
      <c r="IY115" s="66">
        <f t="shared" si="575"/>
        <v>0</v>
      </c>
    </row>
    <row r="116" spans="44:259" ht="13.3" thickTop="1" thickBot="1" x14ac:dyDescent="0.35">
      <c r="AT116" s="812" t="str">
        <f>IF(EV53="","",EV53)</f>
        <v/>
      </c>
      <c r="AU116" s="1336" t="str">
        <f>IF(BA23="","",BA23)</f>
        <v/>
      </c>
      <c r="AV116" s="814" t="str" cm="1">
        <f t="array" ref="AV116">IF(OR(AT116="",AU116=""),"",INDEX(B$25:$B$49,AU116))</f>
        <v/>
      </c>
      <c r="AW116" s="1469" t="str" cm="1">
        <f t="array" ref="AW116">IF(OR(AT116="",AU116=""),"",IF(INDEX($H$25:H$49,AU116)=$AU$7,"",INDEX($D$25:D$49,AU116)))</f>
        <v/>
      </c>
      <c r="AX116" s="247" t="str" cm="1">
        <f t="array" ref="AX116">IF(AU116="","",IF(AND(AV116="c",AW116="s"),"",INDEX($AC$25:$AC$49,AU116)))</f>
        <v/>
      </c>
      <c r="AY116" s="247" t="str">
        <f>IFERROR(IF(AX116="","",$B$17*$N$24*SQRT(AX116*(1/100)*(1/$B$18))),"")</f>
        <v/>
      </c>
      <c r="AZ116" s="817" t="str">
        <f>IF(OR(AT116="",BD126="",BD126&lt;=0),"",IF(1&lt;=$BD$126,1,""))</f>
        <v/>
      </c>
      <c r="BA116" s="247" t="str">
        <f>IFERROR(IF(AZ116="","",SMALL($AY$116:$AY$125,AZ116)),"")</f>
        <v/>
      </c>
      <c r="BB116" s="1328" t="str">
        <f>IF(OR(BB115=0,BB115=""),"",BB115)</f>
        <v/>
      </c>
      <c r="BC116" s="247" t="str">
        <f>IFERROR(IF(BB116="","",LARGE($BA$116:$BA$124,AZ116)),"")</f>
        <v/>
      </c>
      <c r="BD116" s="1327" t="str">
        <f>IF(OR($N$23=0,BC116=""),"",BC116/$N$23)</f>
        <v/>
      </c>
      <c r="BE116" s="1461" t="str">
        <f>IF($FC$53=0,"",1)</f>
        <v/>
      </c>
      <c r="BF116" s="1463" t="str">
        <f>IF(OR(AY116="",AY116=0),"",AY116/$N$23)</f>
        <v/>
      </c>
      <c r="BG116" s="1">
        <v>2</v>
      </c>
      <c r="BH116" s="756" t="str">
        <f>IF(OR($AT$116="",$BB$80=""),"",IF(LOOKUP($BB$80,$DN$54:$DN$78,DU$54:DU$78)="S1","",LOOKUP($BB$80,$DN$54:$DN$78,DU$54:DU$78)))</f>
        <v/>
      </c>
      <c r="BI116" s="756" t="str">
        <f t="shared" ref="BI116:BI122" si="619">IF(AND(LEN(BH116)&gt;1,LEFT(BH116,1)="s",OR(RIGHT(BH116,1)="0",RIGHT(BH116,1)="1",RIGHT(BH116,1)="2",RIGHT(BH116,1)="3",RIGHT(BH116,1)="4",RIGHT(BH116,1)="5",RIGHT(BH116,1)="6",RIGHT(BH116,1)="7",RIGHT(BH116,1)="8",RIGHT(BH116,1)="9")),"",BH116)</f>
        <v/>
      </c>
      <c r="BK116" s="1488">
        <f t="shared" ref="BK116:BK139" si="620">IF(BL116=0,1,VLOOKUP(BL116,$AZ$116:$BD$124,5,FALSE))</f>
        <v>1</v>
      </c>
      <c r="BL116" s="827">
        <f t="shared" si="601"/>
        <v>0</v>
      </c>
      <c r="BM116" s="216">
        <f t="shared" ref="BM116:BM139" si="621">IF($BI$115="",0,COUNTIF($DT26:$ER26,$BI$115))</f>
        <v>0</v>
      </c>
      <c r="BN116" s="216">
        <f t="shared" si="602"/>
        <v>0</v>
      </c>
      <c r="BO116" s="216">
        <f t="shared" si="603"/>
        <v>0</v>
      </c>
      <c r="BP116" s="216">
        <f t="shared" si="604"/>
        <v>0</v>
      </c>
      <c r="BQ116" s="216">
        <f t="shared" si="605"/>
        <v>0</v>
      </c>
      <c r="BR116" s="216">
        <f t="shared" si="606"/>
        <v>0</v>
      </c>
      <c r="BS116" s="216">
        <f t="shared" si="607"/>
        <v>0</v>
      </c>
      <c r="BT116" s="216">
        <f t="shared" si="608"/>
        <v>0</v>
      </c>
      <c r="BU116" s="827">
        <f t="shared" ref="BU116:BU139" si="622">BZ116+CC116+CF116+CI116+CL116+CO116+CR116+CU116</f>
        <v>0</v>
      </c>
      <c r="BV116" s="828">
        <f t="shared" si="609"/>
        <v>0</v>
      </c>
      <c r="BW116" s="828">
        <f t="shared" si="610"/>
        <v>0</v>
      </c>
      <c r="BX116" s="1">
        <f t="shared" si="611"/>
        <v>0</v>
      </c>
      <c r="BY116" s="1">
        <f t="shared" ref="BY116:BY139" si="623">IF($BX$140=0,0,IF(BX116=$BX$140,1,0))</f>
        <v>0</v>
      </c>
      <c r="BZ116" s="827">
        <f t="shared" ref="BZ116:BZ139" si="624">IF($BY$141="",0,COUNTIF($DT26:$ER26,$BY$141))</f>
        <v>0</v>
      </c>
      <c r="CA116" s="1">
        <f t="shared" si="612"/>
        <v>0</v>
      </c>
      <c r="CB116" s="1">
        <f t="shared" ref="CB116:CB139" si="625">IF($CA$140=0,0,IF(CA116=$CA$140,1,0))</f>
        <v>0</v>
      </c>
      <c r="CC116" s="827">
        <f t="shared" ref="CC116:CC139" si="626">IF($CB$141="",0,COUNTIF($DT26:$ER26,$CB$141))</f>
        <v>0</v>
      </c>
      <c r="CD116" s="1">
        <f t="shared" si="613"/>
        <v>0</v>
      </c>
      <c r="CE116" s="1">
        <f t="shared" ref="CE116:CE139" si="627">IF($CD$140=0,0,IF(CD116=$CD$140,1,0))</f>
        <v>0</v>
      </c>
      <c r="CF116" s="827">
        <f t="shared" ref="CF116:CF139" si="628">IF($CE$141="",0,COUNTIF($DT26:$ER26,$CE$141))</f>
        <v>0</v>
      </c>
      <c r="CG116" s="1">
        <f t="shared" si="614"/>
        <v>0</v>
      </c>
      <c r="CH116" s="1">
        <f t="shared" ref="CH116:CH139" si="629">IF($CG$140=0,0,IF(CG116=$CG$140,1,0))</f>
        <v>0</v>
      </c>
      <c r="CI116" s="827">
        <f t="shared" ref="CI116:CI139" si="630">IF($CH$141="",0,COUNTIF($DT26:$ER26,$CH$141))</f>
        <v>0</v>
      </c>
      <c r="CJ116" s="1">
        <f t="shared" si="615"/>
        <v>0</v>
      </c>
      <c r="CK116" s="1">
        <f t="shared" ref="CK116:CK139" si="631">IF($CJ$140=0,0,IF(CJ116=$CJ$140,1,0))</f>
        <v>0</v>
      </c>
      <c r="CL116" s="827">
        <f t="shared" ref="CL116:CL139" si="632">IF($CK$141="",0,COUNTIF($DT26:$ER26,$CK$141))</f>
        <v>0</v>
      </c>
      <c r="CM116" s="1">
        <f t="shared" si="616"/>
        <v>0</v>
      </c>
      <c r="CN116" s="1">
        <f t="shared" ref="CN116:CN139" si="633">IF($CM$140=0,0,IF(CM116=$CM$140,1,0))</f>
        <v>0</v>
      </c>
      <c r="CO116" s="827">
        <f t="shared" ref="CO116:CO139" si="634">IF($CN$141="",0,COUNTIF($DT26:$ER26,$CN$141))</f>
        <v>0</v>
      </c>
      <c r="CP116" s="1">
        <f t="shared" si="617"/>
        <v>0</v>
      </c>
      <c r="CQ116" s="1">
        <f t="shared" ref="CQ116:CQ139" si="635">IF($CP$140=0,0,IF(CP116=$CP$140,1,0))</f>
        <v>0</v>
      </c>
      <c r="CR116" s="827">
        <f t="shared" ref="CR116:CR139" si="636">IF($CQ$141="",0,COUNTIF($DT26:$ER26,$CQ$141))</f>
        <v>0</v>
      </c>
      <c r="CS116" s="1">
        <f t="shared" si="618"/>
        <v>0</v>
      </c>
      <c r="CT116" s="1">
        <f t="shared" ref="CT116:CT139" si="637">IF($CS$140=0,0,IF(CS116=$CS$140,1,0))</f>
        <v>0</v>
      </c>
      <c r="CU116" s="827">
        <f t="shared" ref="CU116:CU139" si="638">IF($CT$141="",0,COUNTIF($DT26:$ER26,$CT$141))</f>
        <v>0</v>
      </c>
      <c r="EA116" s="33"/>
      <c r="EB116" s="453" t="str">
        <f t="shared" si="538"/>
        <v/>
      </c>
      <c r="EC116" s="762" t="str">
        <f t="shared" si="539"/>
        <v/>
      </c>
      <c r="ED116" s="454" t="str">
        <f t="shared" si="541"/>
        <v/>
      </c>
      <c r="EE116" s="469"/>
      <c r="EF116" s="454" t="str">
        <f>IF($ED115="","",IF(AND($EH122&lt;&gt;"",$EH122&gt;$ED115),$EH122,IF(AND($EH123&lt;&gt;"",$EH123&gt;$ED115),$EH123,IF(AND($EH124&lt;&gt;"",$EH124&gt;$ED115),$EH124,IF(AND($EH125&lt;&gt;"",$EH125&gt;$ED115),$EH125,"")))))</f>
        <v/>
      </c>
      <c r="EG116" s="454" t="str">
        <f t="shared" si="542"/>
        <v/>
      </c>
      <c r="EH116" s="454" t="str">
        <f t="shared" si="540"/>
        <v/>
      </c>
      <c r="EI116" s="760" t="s">
        <v>155</v>
      </c>
      <c r="EJ116" s="759">
        <v>1.5</v>
      </c>
      <c r="EK116" s="761">
        <f>SUMIF($EM$112:$EM$136,41.9,$EN$112:$EN$136)</f>
        <v>0</v>
      </c>
      <c r="EL116" s="522" t="str">
        <f t="shared" si="543"/>
        <v/>
      </c>
      <c r="EM116" s="17">
        <f t="shared" si="544"/>
        <v>0</v>
      </c>
      <c r="EN116" s="665">
        <f t="shared" si="576"/>
        <v>0</v>
      </c>
      <c r="EO116" s="665">
        <f t="shared" si="545"/>
        <v>0</v>
      </c>
      <c r="EP116" s="458">
        <f t="shared" si="546"/>
        <v>1</v>
      </c>
      <c r="EQ116" s="33"/>
      <c r="ER116" s="33"/>
      <c r="ES116" s="33"/>
      <c r="ET116" s="33"/>
      <c r="EU116" s="33"/>
      <c r="EV116" s="33"/>
      <c r="EW116" s="33"/>
      <c r="EX116" s="33"/>
      <c r="EY116" s="33">
        <v>5</v>
      </c>
      <c r="FD116" s="276" t="str">
        <f t="shared" si="547"/>
        <v/>
      </c>
      <c r="FE116" s="18">
        <f t="shared" si="548"/>
        <v>0</v>
      </c>
      <c r="FF116" s="275" t="str">
        <f t="shared" si="549"/>
        <v/>
      </c>
      <c r="FG116" s="145" t="str">
        <f t="shared" si="550"/>
        <v/>
      </c>
      <c r="FH116" s="19">
        <f t="shared" si="551"/>
        <v>0</v>
      </c>
      <c r="FI116" s="718"/>
      <c r="FJ116" s="701" t="str">
        <f t="shared" si="577"/>
        <v/>
      </c>
      <c r="FK116" s="66">
        <f t="shared" si="552"/>
        <v>0</v>
      </c>
      <c r="FL116" s="717"/>
      <c r="FM116" s="716"/>
      <c r="FN116" s="701" t="str">
        <f t="shared" si="578"/>
        <v/>
      </c>
      <c r="FO116" s="66">
        <f t="shared" si="553"/>
        <v>0</v>
      </c>
      <c r="FP116" s="717"/>
      <c r="FQ116" s="716"/>
      <c r="FR116" s="701" t="str">
        <f t="shared" si="579"/>
        <v/>
      </c>
      <c r="FS116" s="66">
        <f t="shared" si="554"/>
        <v>0</v>
      </c>
      <c r="FT116" s="717"/>
      <c r="FU116" s="716"/>
      <c r="FV116" s="701" t="str">
        <f t="shared" si="580"/>
        <v/>
      </c>
      <c r="FW116" s="66">
        <f t="shared" si="555"/>
        <v>0</v>
      </c>
      <c r="FX116" s="717"/>
      <c r="FY116" s="716"/>
      <c r="FZ116" s="701" t="str">
        <f t="shared" si="581"/>
        <v/>
      </c>
      <c r="GA116" s="66">
        <f t="shared" si="556"/>
        <v>0</v>
      </c>
      <c r="GB116" s="717"/>
      <c r="GC116" s="716"/>
      <c r="GD116" s="701" t="str">
        <f t="shared" si="582"/>
        <v/>
      </c>
      <c r="GE116" s="66">
        <f t="shared" si="557"/>
        <v>0</v>
      </c>
      <c r="GF116" s="717"/>
      <c r="GG116" s="716"/>
      <c r="GH116" s="701" t="str">
        <f t="shared" si="583"/>
        <v/>
      </c>
      <c r="GI116" s="66">
        <f t="shared" si="558"/>
        <v>0</v>
      </c>
      <c r="GJ116" s="717"/>
      <c r="GK116" s="716"/>
      <c r="GL116" s="701" t="str">
        <f t="shared" si="584"/>
        <v/>
      </c>
      <c r="GM116" s="66">
        <f t="shared" si="559"/>
        <v>0</v>
      </c>
      <c r="GN116" s="717"/>
      <c r="GO116" s="716"/>
      <c r="GP116" s="701" t="str">
        <f t="shared" si="585"/>
        <v/>
      </c>
      <c r="GQ116" s="66">
        <f t="shared" si="560"/>
        <v>0</v>
      </c>
      <c r="GR116" s="717"/>
      <c r="GS116" s="716"/>
      <c r="GT116" s="701" t="str">
        <f t="shared" si="586"/>
        <v/>
      </c>
      <c r="GU116" s="66">
        <f t="shared" si="561"/>
        <v>0</v>
      </c>
      <c r="GV116" s="717"/>
      <c r="GW116" s="716"/>
      <c r="GX116" s="701" t="str">
        <f t="shared" si="587"/>
        <v/>
      </c>
      <c r="GY116" s="66">
        <f t="shared" si="562"/>
        <v>0</v>
      </c>
      <c r="GZ116" s="717"/>
      <c r="HA116" s="716"/>
      <c r="HB116" s="701" t="str">
        <f t="shared" si="588"/>
        <v/>
      </c>
      <c r="HC116" s="66">
        <f t="shared" si="563"/>
        <v>0</v>
      </c>
      <c r="HD116" s="717"/>
      <c r="HE116" s="716"/>
      <c r="HF116" s="701" t="str">
        <f t="shared" si="589"/>
        <v/>
      </c>
      <c r="HG116" s="66">
        <f t="shared" si="564"/>
        <v>0</v>
      </c>
      <c r="HH116" s="717"/>
      <c r="HI116" s="716"/>
      <c r="HJ116" s="701" t="str">
        <f t="shared" si="590"/>
        <v/>
      </c>
      <c r="HK116" s="66">
        <f t="shared" si="565"/>
        <v>0</v>
      </c>
      <c r="HL116" s="717"/>
      <c r="HM116" s="716"/>
      <c r="HN116" s="701" t="str">
        <f t="shared" si="591"/>
        <v/>
      </c>
      <c r="HO116" s="66">
        <f t="shared" si="566"/>
        <v>0</v>
      </c>
      <c r="HP116" s="717"/>
      <c r="HQ116" s="716"/>
      <c r="HR116" s="701" t="str">
        <f t="shared" si="592"/>
        <v/>
      </c>
      <c r="HS116" s="66">
        <f t="shared" si="567"/>
        <v>0</v>
      </c>
      <c r="HT116" s="717"/>
      <c r="HU116" s="716"/>
      <c r="HV116" s="701" t="str">
        <f t="shared" si="593"/>
        <v/>
      </c>
      <c r="HW116" s="66">
        <f t="shared" si="568"/>
        <v>0</v>
      </c>
      <c r="HX116" s="717"/>
      <c r="HY116" s="716"/>
      <c r="HZ116" s="701" t="str">
        <f t="shared" si="594"/>
        <v/>
      </c>
      <c r="IA116" s="66">
        <f t="shared" si="569"/>
        <v>0</v>
      </c>
      <c r="IB116" s="717"/>
      <c r="IC116" s="716"/>
      <c r="ID116" s="701" t="str">
        <f t="shared" si="595"/>
        <v/>
      </c>
      <c r="IE116" s="66">
        <f t="shared" si="570"/>
        <v>0</v>
      </c>
      <c r="IF116" s="717"/>
      <c r="IG116" s="716"/>
      <c r="IH116" s="701" t="str">
        <f t="shared" si="596"/>
        <v/>
      </c>
      <c r="II116" s="66">
        <f t="shared" si="571"/>
        <v>0</v>
      </c>
      <c r="IJ116" s="717"/>
      <c r="IK116" s="716"/>
      <c r="IL116" s="701" t="str">
        <f t="shared" si="597"/>
        <v/>
      </c>
      <c r="IM116" s="66">
        <f t="shared" si="572"/>
        <v>0</v>
      </c>
      <c r="IN116" s="717"/>
      <c r="IO116" s="716"/>
      <c r="IP116" s="701" t="str">
        <f t="shared" si="598"/>
        <v/>
      </c>
      <c r="IQ116" s="66">
        <f t="shared" si="573"/>
        <v>0</v>
      </c>
      <c r="IR116" s="717"/>
      <c r="IS116" s="716"/>
      <c r="IT116" s="701" t="str">
        <f t="shared" si="599"/>
        <v/>
      </c>
      <c r="IU116" s="66">
        <f t="shared" si="574"/>
        <v>0</v>
      </c>
      <c r="IV116" s="717"/>
      <c r="IW116" s="716"/>
      <c r="IX116" s="701" t="str">
        <f t="shared" si="600"/>
        <v/>
      </c>
      <c r="IY116" s="66">
        <f t="shared" si="575"/>
        <v>0</v>
      </c>
    </row>
    <row r="117" spans="44:259" ht="13.3" thickTop="1" thickBot="1" x14ac:dyDescent="0.35">
      <c r="AT117" s="756" t="str">
        <f>IF(OR(AT116="",$BB$79=""),"",IF(LOOKUP($BB$79,$DN$54:$DN$78,DT$54:DT$78)="S1","",LOOKUP($BB$79,$DN$54:$DN$78,DT$54:DT$78)))</f>
        <v/>
      </c>
      <c r="AU117" s="216" t="str">
        <f>IFERROR(IF(AT117="","",MATCH(AT117,$F$25:$F$49,0)),"")</f>
        <v/>
      </c>
      <c r="AV117" s="814" t="str" cm="1">
        <f t="array" ref="AV117">IF(OR(AT117="",AU117=""),"",INDEX(B$25:$B$49,AU117))</f>
        <v/>
      </c>
      <c r="AW117" s="1469" t="str" cm="1">
        <f t="array" ref="AW117">IF(OR(AT117="",AU117=""),"",IF(INDEX($H$25:H$49,AU117)=$AU$7,"",INDEX($D$25:D$49,AU117)))</f>
        <v/>
      </c>
      <c r="AX117" s="247" t="str" cm="1">
        <f t="array" ref="AX117">IF(AU117="","",IF(AND(AV117="c",AW117="s"),"",INDEX($AC$25:$AC$49,AU117)))</f>
        <v/>
      </c>
      <c r="AY117" s="247" t="str">
        <f>IFERROR(IF(AX117="","",$B$17*$N$24*SQRT(AX117*(1/100)*(1/$B$18))),"")</f>
        <v/>
      </c>
      <c r="AZ117" s="756" t="str">
        <f t="shared" ref="AZ117:AZ124" si="639">IF(OR($AZ$116="",AZ116=""),"",IF(AZ116+1&lt;=$BD$126,AZ116+1,""))</f>
        <v/>
      </c>
      <c r="BA117" s="247" t="str">
        <f>IFERROR(IF(AZ117="","",SMALL($AY$116:$AY$125,AZ117)),"")</f>
        <v/>
      </c>
      <c r="BB117" s="817" t="str">
        <f>IF(BB116="","",IF((BB116-1)&gt;0,BB116-1,""))</f>
        <v/>
      </c>
      <c r="BC117" s="247" t="str">
        <f>IFERROR(IF(BB117="","",LARGE($BA$116:$BA$124,AZ117)),"")</f>
        <v/>
      </c>
      <c r="BD117" s="1327" t="str">
        <f t="shared" ref="BD117:BD124" si="640">IF(OR($N$23=0,BC117=""),"",BC117/$N$23)</f>
        <v/>
      </c>
      <c r="BE117" s="1461" t="str">
        <f>IF($FC$53=0,"",IF(BE116&lt;$FC$53,BE116+1,IF(BE116=$FC$53,"","")))</f>
        <v/>
      </c>
      <c r="BF117" s="1463" t="str">
        <f t="shared" ref="BF117:BF124" si="641">IF(OR(AY117="",AY117=0),"",AY117/$N$23)</f>
        <v/>
      </c>
      <c r="BG117" s="1">
        <v>3</v>
      </c>
      <c r="BH117" s="756" t="str">
        <f>IF(OR($AT$116="",$BB$80=""),"",IF(LOOKUP($BB$80,$DN$54:$DN$78,DV$54:DV$78)="S1","",LOOKUP($BB$80,$DN$54:$DN$78,DV$54:DV$78)))</f>
        <v/>
      </c>
      <c r="BI117" s="756" t="str">
        <f t="shared" si="619"/>
        <v/>
      </c>
      <c r="BK117" s="1488">
        <f t="shared" si="620"/>
        <v>1</v>
      </c>
      <c r="BL117" s="827">
        <f t="shared" si="601"/>
        <v>0</v>
      </c>
      <c r="BM117" s="216">
        <f t="shared" si="621"/>
        <v>0</v>
      </c>
      <c r="BN117" s="216">
        <f t="shared" si="602"/>
        <v>0</v>
      </c>
      <c r="BO117" s="216">
        <f t="shared" si="603"/>
        <v>0</v>
      </c>
      <c r="BP117" s="216">
        <f t="shared" si="604"/>
        <v>0</v>
      </c>
      <c r="BQ117" s="216">
        <f t="shared" si="605"/>
        <v>0</v>
      </c>
      <c r="BR117" s="216">
        <f t="shared" si="606"/>
        <v>0</v>
      </c>
      <c r="BS117" s="216">
        <f t="shared" si="607"/>
        <v>0</v>
      </c>
      <c r="BT117" s="216">
        <f t="shared" si="608"/>
        <v>0</v>
      </c>
      <c r="BU117" s="827">
        <f t="shared" si="622"/>
        <v>0</v>
      </c>
      <c r="BV117" s="828">
        <f t="shared" si="609"/>
        <v>0</v>
      </c>
      <c r="BW117" s="828">
        <f t="shared" si="610"/>
        <v>0</v>
      </c>
      <c r="BX117" s="1">
        <f t="shared" si="611"/>
        <v>0</v>
      </c>
      <c r="BY117" s="1">
        <f t="shared" si="623"/>
        <v>0</v>
      </c>
      <c r="BZ117" s="827">
        <f t="shared" si="624"/>
        <v>0</v>
      </c>
      <c r="CA117" s="1">
        <f t="shared" si="612"/>
        <v>0</v>
      </c>
      <c r="CB117" s="1">
        <f t="shared" si="625"/>
        <v>0</v>
      </c>
      <c r="CC117" s="827">
        <f t="shared" si="626"/>
        <v>0</v>
      </c>
      <c r="CD117" s="1">
        <f t="shared" si="613"/>
        <v>0</v>
      </c>
      <c r="CE117" s="1">
        <f t="shared" si="627"/>
        <v>0</v>
      </c>
      <c r="CF117" s="827">
        <f t="shared" si="628"/>
        <v>0</v>
      </c>
      <c r="CG117" s="1">
        <f t="shared" si="614"/>
        <v>0</v>
      </c>
      <c r="CH117" s="1">
        <f t="shared" si="629"/>
        <v>0</v>
      </c>
      <c r="CI117" s="827">
        <f t="shared" si="630"/>
        <v>0</v>
      </c>
      <c r="CJ117" s="1">
        <f t="shared" si="615"/>
        <v>0</v>
      </c>
      <c r="CK117" s="1">
        <f t="shared" si="631"/>
        <v>0</v>
      </c>
      <c r="CL117" s="827">
        <f t="shared" si="632"/>
        <v>0</v>
      </c>
      <c r="CM117" s="1">
        <f t="shared" si="616"/>
        <v>0</v>
      </c>
      <c r="CN117" s="1">
        <f t="shared" si="633"/>
        <v>0</v>
      </c>
      <c r="CO117" s="827">
        <f t="shared" si="634"/>
        <v>0</v>
      </c>
      <c r="CP117" s="1">
        <f t="shared" si="617"/>
        <v>0</v>
      </c>
      <c r="CQ117" s="1">
        <f t="shared" si="635"/>
        <v>0</v>
      </c>
      <c r="CR117" s="827">
        <f t="shared" si="636"/>
        <v>0</v>
      </c>
      <c r="CS117" s="1">
        <f t="shared" si="618"/>
        <v>0</v>
      </c>
      <c r="CT117" s="1">
        <f t="shared" si="637"/>
        <v>0</v>
      </c>
      <c r="CU117" s="827">
        <f t="shared" si="638"/>
        <v>0</v>
      </c>
      <c r="EA117" s="33"/>
      <c r="EB117" s="453" t="str">
        <f t="shared" si="538"/>
        <v/>
      </c>
      <c r="EC117" s="762" t="str">
        <f t="shared" si="539"/>
        <v/>
      </c>
      <c r="ED117" s="454" t="str">
        <f t="shared" si="541"/>
        <v/>
      </c>
      <c r="EE117" s="469"/>
      <c r="EF117" s="454" t="str">
        <f>IF($ED116="","",IF(AND($EH123&lt;&gt;"",$EH123&gt;$ED116),$EH123,IF(AND($EH124&lt;&gt;"",$EH124&gt;$ED116),$EH124,IF(AND($EH125&lt;&gt;"",$EH125&gt;$ED116),$EH125,""))))</f>
        <v/>
      </c>
      <c r="EG117" s="454" t="str">
        <f t="shared" si="542"/>
        <v/>
      </c>
      <c r="EH117" s="454" t="str">
        <f t="shared" si="540"/>
        <v/>
      </c>
      <c r="EI117" s="760" t="s">
        <v>156</v>
      </c>
      <c r="EJ117" s="759">
        <v>2</v>
      </c>
      <c r="EK117" s="761">
        <f>SUMIF($EM$112:$EM$136,53.1,$EN$112:$EN$136)</f>
        <v>0</v>
      </c>
      <c r="EL117" s="522" t="str">
        <f t="shared" si="543"/>
        <v/>
      </c>
      <c r="EM117" s="17">
        <f t="shared" si="544"/>
        <v>0</v>
      </c>
      <c r="EN117" s="665">
        <f t="shared" si="576"/>
        <v>0</v>
      </c>
      <c r="EO117" s="665">
        <f t="shared" si="545"/>
        <v>0</v>
      </c>
      <c r="EP117" s="458">
        <f t="shared" si="546"/>
        <v>1</v>
      </c>
      <c r="EQ117" s="33"/>
      <c r="ER117" s="33"/>
      <c r="ES117" s="33"/>
      <c r="ET117" s="33"/>
      <c r="EU117" s="33"/>
      <c r="EV117" s="33"/>
      <c r="EW117" s="33"/>
      <c r="EX117" s="33"/>
      <c r="EY117" s="33">
        <v>6</v>
      </c>
      <c r="FD117" s="276" t="str">
        <f t="shared" si="547"/>
        <v/>
      </c>
      <c r="FE117" s="18">
        <f t="shared" si="548"/>
        <v>0</v>
      </c>
      <c r="FF117" s="275" t="str">
        <f t="shared" si="549"/>
        <v/>
      </c>
      <c r="FG117" s="145" t="str">
        <f t="shared" si="550"/>
        <v/>
      </c>
      <c r="FH117" s="19">
        <f t="shared" si="551"/>
        <v>0</v>
      </c>
      <c r="FI117" s="718"/>
      <c r="FJ117" s="701" t="str">
        <f t="shared" si="577"/>
        <v/>
      </c>
      <c r="FK117" s="66">
        <f t="shared" si="552"/>
        <v>0</v>
      </c>
      <c r="FL117" s="717"/>
      <c r="FM117" s="716"/>
      <c r="FN117" s="701" t="str">
        <f t="shared" si="578"/>
        <v/>
      </c>
      <c r="FO117" s="66">
        <f t="shared" si="553"/>
        <v>0</v>
      </c>
      <c r="FP117" s="717"/>
      <c r="FQ117" s="716"/>
      <c r="FR117" s="701" t="str">
        <f t="shared" si="579"/>
        <v/>
      </c>
      <c r="FS117" s="66">
        <f t="shared" si="554"/>
        <v>0</v>
      </c>
      <c r="FT117" s="717"/>
      <c r="FU117" s="716"/>
      <c r="FV117" s="701" t="str">
        <f t="shared" si="580"/>
        <v/>
      </c>
      <c r="FW117" s="66">
        <f t="shared" si="555"/>
        <v>0</v>
      </c>
      <c r="FX117" s="717"/>
      <c r="FY117" s="716"/>
      <c r="FZ117" s="701" t="str">
        <f t="shared" si="581"/>
        <v/>
      </c>
      <c r="GA117" s="66">
        <f t="shared" si="556"/>
        <v>0</v>
      </c>
      <c r="GB117" s="717"/>
      <c r="GC117" s="716"/>
      <c r="GD117" s="701" t="str">
        <f t="shared" si="582"/>
        <v/>
      </c>
      <c r="GE117" s="66">
        <f t="shared" si="557"/>
        <v>0</v>
      </c>
      <c r="GF117" s="717"/>
      <c r="GG117" s="716"/>
      <c r="GH117" s="701" t="str">
        <f t="shared" si="583"/>
        <v/>
      </c>
      <c r="GI117" s="66">
        <f t="shared" si="558"/>
        <v>0</v>
      </c>
      <c r="GJ117" s="717"/>
      <c r="GK117" s="716"/>
      <c r="GL117" s="701" t="str">
        <f t="shared" si="584"/>
        <v/>
      </c>
      <c r="GM117" s="66">
        <f t="shared" si="559"/>
        <v>0</v>
      </c>
      <c r="GN117" s="717"/>
      <c r="GO117" s="716"/>
      <c r="GP117" s="701" t="str">
        <f t="shared" si="585"/>
        <v/>
      </c>
      <c r="GQ117" s="66">
        <f t="shared" si="560"/>
        <v>0</v>
      </c>
      <c r="GR117" s="717"/>
      <c r="GS117" s="716"/>
      <c r="GT117" s="701" t="str">
        <f t="shared" si="586"/>
        <v/>
      </c>
      <c r="GU117" s="66">
        <f t="shared" si="561"/>
        <v>0</v>
      </c>
      <c r="GV117" s="717"/>
      <c r="GW117" s="716"/>
      <c r="GX117" s="701" t="str">
        <f t="shared" si="587"/>
        <v/>
      </c>
      <c r="GY117" s="66">
        <f t="shared" si="562"/>
        <v>0</v>
      </c>
      <c r="GZ117" s="717"/>
      <c r="HA117" s="716"/>
      <c r="HB117" s="701" t="str">
        <f t="shared" si="588"/>
        <v/>
      </c>
      <c r="HC117" s="66">
        <f t="shared" si="563"/>
        <v>0</v>
      </c>
      <c r="HD117" s="717"/>
      <c r="HE117" s="716"/>
      <c r="HF117" s="701" t="str">
        <f t="shared" si="589"/>
        <v/>
      </c>
      <c r="HG117" s="66">
        <f t="shared" si="564"/>
        <v>0</v>
      </c>
      <c r="HH117" s="717"/>
      <c r="HI117" s="716"/>
      <c r="HJ117" s="701" t="str">
        <f t="shared" si="590"/>
        <v/>
      </c>
      <c r="HK117" s="66">
        <f t="shared" si="565"/>
        <v>0</v>
      </c>
      <c r="HL117" s="717"/>
      <c r="HM117" s="716"/>
      <c r="HN117" s="701" t="str">
        <f t="shared" si="591"/>
        <v/>
      </c>
      <c r="HO117" s="66">
        <f t="shared" si="566"/>
        <v>0</v>
      </c>
      <c r="HP117" s="717"/>
      <c r="HQ117" s="716"/>
      <c r="HR117" s="701" t="str">
        <f t="shared" si="592"/>
        <v/>
      </c>
      <c r="HS117" s="66">
        <f t="shared" si="567"/>
        <v>0</v>
      </c>
      <c r="HT117" s="717"/>
      <c r="HU117" s="716"/>
      <c r="HV117" s="701" t="str">
        <f t="shared" si="593"/>
        <v/>
      </c>
      <c r="HW117" s="66">
        <f t="shared" si="568"/>
        <v>0</v>
      </c>
      <c r="HX117" s="717"/>
      <c r="HY117" s="716"/>
      <c r="HZ117" s="701" t="str">
        <f t="shared" si="594"/>
        <v/>
      </c>
      <c r="IA117" s="66">
        <f t="shared" si="569"/>
        <v>0</v>
      </c>
      <c r="IB117" s="717"/>
      <c r="IC117" s="716"/>
      <c r="ID117" s="701" t="str">
        <f t="shared" si="595"/>
        <v/>
      </c>
      <c r="IE117" s="66">
        <f t="shared" si="570"/>
        <v>0</v>
      </c>
      <c r="IF117" s="717"/>
      <c r="IG117" s="716"/>
      <c r="IH117" s="701" t="str">
        <f t="shared" si="596"/>
        <v/>
      </c>
      <c r="II117" s="66">
        <f t="shared" si="571"/>
        <v>0</v>
      </c>
      <c r="IJ117" s="717"/>
      <c r="IK117" s="716"/>
      <c r="IL117" s="701" t="str">
        <f t="shared" si="597"/>
        <v/>
      </c>
      <c r="IM117" s="66">
        <f t="shared" si="572"/>
        <v>0</v>
      </c>
      <c r="IN117" s="717"/>
      <c r="IO117" s="716"/>
      <c r="IP117" s="701" t="str">
        <f t="shared" si="598"/>
        <v/>
      </c>
      <c r="IQ117" s="66">
        <f t="shared" si="573"/>
        <v>0</v>
      </c>
      <c r="IR117" s="717"/>
      <c r="IS117" s="716"/>
      <c r="IT117" s="701" t="str">
        <f t="shared" si="599"/>
        <v/>
      </c>
      <c r="IU117" s="66">
        <f t="shared" si="574"/>
        <v>0</v>
      </c>
      <c r="IV117" s="717"/>
      <c r="IW117" s="716"/>
      <c r="IX117" s="701" t="str">
        <f t="shared" si="600"/>
        <v/>
      </c>
      <c r="IY117" s="66">
        <f t="shared" si="575"/>
        <v>0</v>
      </c>
    </row>
    <row r="118" spans="44:259" ht="13.3" thickTop="1" thickBot="1" x14ac:dyDescent="0.35">
      <c r="AT118" s="756" t="str">
        <f>IF(OR(AT116="",$BB$79=""),"",IF(LOOKUP($BB$79,$DN$54:$DN$78,DU$54:DU$78)="S1","",LOOKUP($BB$79,$DN$54:$DN$78,DU$54:DU$78)))</f>
        <v/>
      </c>
      <c r="AU118" s="216" t="str">
        <f t="shared" ref="AU118:AU124" si="642">IFERROR(IF(AT118="","",MATCH(AT118,$F$25:$F$49,0)),"")</f>
        <v/>
      </c>
      <c r="AV118" s="814" t="str" cm="1">
        <f t="array" ref="AV118">IF(OR(AT118="",AU118=""),"",INDEX(B$25:$B$49,AU118))</f>
        <v/>
      </c>
      <c r="AW118" s="1469" t="str" cm="1">
        <f t="array" ref="AW118">IF(OR(AT118="",AU118=""),"",IF(INDEX($H$25:H$49,AU118)=$AU$7,"",INDEX($D$25:D$49,AU118)))</f>
        <v/>
      </c>
      <c r="AX118" s="247" t="str" cm="1">
        <f t="array" ref="AX118">IF(AU118="","",IF(AND(AV118="c",AW118="s"),"",INDEX($AC$25:$AC$49,AU118)))</f>
        <v/>
      </c>
      <c r="AY118" s="247" t="str">
        <f t="shared" ref="AY118:AY124" si="643">IFERROR(IF(AX118="","",$B$17*$N$24*SQRT(AX118*(1/100)*(1/$B$18))),"")</f>
        <v/>
      </c>
      <c r="AZ118" s="756" t="str">
        <f t="shared" si="639"/>
        <v/>
      </c>
      <c r="BA118" s="247" t="str">
        <f t="shared" ref="BA118:BA124" si="644">IFERROR(IF(AZ118="","",SMALL($AY$116:$AY$125,AZ118)),"")</f>
        <v/>
      </c>
      <c r="BB118" s="817" t="str">
        <f>IF(BB117="","",IF((BB117-1)&gt;0,BB117-1,""))</f>
        <v/>
      </c>
      <c r="BC118" s="247" t="str">
        <f t="shared" ref="BC118:BC123" si="645">IFERROR(IF(BB118="","",LARGE($BA$116:$BA$124,AZ118)),"")</f>
        <v/>
      </c>
      <c r="BD118" s="1327" t="str">
        <f t="shared" si="640"/>
        <v/>
      </c>
      <c r="BE118" s="1461" t="str">
        <f t="shared" ref="BE118:BE124" si="646">IF($FC$53=0,"",IF(BE117&lt;$FC$53,BE117+1,IF(BE117=$FC$53,"","")))</f>
        <v/>
      </c>
      <c r="BF118" s="1463" t="str">
        <f t="shared" si="641"/>
        <v/>
      </c>
      <c r="BG118" s="1">
        <v>4</v>
      </c>
      <c r="BH118" s="756" t="str">
        <f>IF(OR($AT$116="",$BB$80=""),"",IF(LOOKUP($BB$80,$DN$54:$DN$78,DW$54:DW$78)="S1","",LOOKUP($BB$80,$DN$54:$DN$78,DW$54:DW$78)))</f>
        <v/>
      </c>
      <c r="BI118" s="756" t="str">
        <f t="shared" si="619"/>
        <v/>
      </c>
      <c r="BK118" s="1488">
        <f t="shared" si="620"/>
        <v>1</v>
      </c>
      <c r="BL118" s="827">
        <f t="shared" si="601"/>
        <v>0</v>
      </c>
      <c r="BM118" s="216">
        <f t="shared" si="621"/>
        <v>0</v>
      </c>
      <c r="BN118" s="216">
        <f t="shared" si="602"/>
        <v>0</v>
      </c>
      <c r="BO118" s="216">
        <f t="shared" si="603"/>
        <v>0</v>
      </c>
      <c r="BP118" s="216">
        <f t="shared" si="604"/>
        <v>0</v>
      </c>
      <c r="BQ118" s="216">
        <f t="shared" si="605"/>
        <v>0</v>
      </c>
      <c r="BR118" s="216">
        <f t="shared" si="606"/>
        <v>0</v>
      </c>
      <c r="BS118" s="216">
        <f t="shared" si="607"/>
        <v>0</v>
      </c>
      <c r="BT118" s="216">
        <f t="shared" si="608"/>
        <v>0</v>
      </c>
      <c r="BU118" s="827">
        <f t="shared" si="622"/>
        <v>0</v>
      </c>
      <c r="BV118" s="828">
        <f t="shared" si="609"/>
        <v>0</v>
      </c>
      <c r="BW118" s="828">
        <f t="shared" si="610"/>
        <v>0</v>
      </c>
      <c r="BX118" s="1">
        <f t="shared" si="611"/>
        <v>0</v>
      </c>
      <c r="BY118" s="1">
        <f t="shared" si="623"/>
        <v>0</v>
      </c>
      <c r="BZ118" s="827">
        <f t="shared" si="624"/>
        <v>0</v>
      </c>
      <c r="CA118" s="1">
        <f t="shared" si="612"/>
        <v>0</v>
      </c>
      <c r="CB118" s="1">
        <f t="shared" si="625"/>
        <v>0</v>
      </c>
      <c r="CC118" s="827">
        <f t="shared" si="626"/>
        <v>0</v>
      </c>
      <c r="CD118" s="1">
        <f t="shared" si="613"/>
        <v>0</v>
      </c>
      <c r="CE118" s="1">
        <f t="shared" si="627"/>
        <v>0</v>
      </c>
      <c r="CF118" s="827">
        <f t="shared" si="628"/>
        <v>0</v>
      </c>
      <c r="CG118" s="1">
        <f t="shared" si="614"/>
        <v>0</v>
      </c>
      <c r="CH118" s="1">
        <f t="shared" si="629"/>
        <v>0</v>
      </c>
      <c r="CI118" s="827">
        <f t="shared" si="630"/>
        <v>0</v>
      </c>
      <c r="CJ118" s="1">
        <f t="shared" si="615"/>
        <v>0</v>
      </c>
      <c r="CK118" s="1">
        <f t="shared" si="631"/>
        <v>0</v>
      </c>
      <c r="CL118" s="827">
        <f t="shared" si="632"/>
        <v>0</v>
      </c>
      <c r="CM118" s="1">
        <f t="shared" si="616"/>
        <v>0</v>
      </c>
      <c r="CN118" s="1">
        <f t="shared" si="633"/>
        <v>0</v>
      </c>
      <c r="CO118" s="827">
        <f t="shared" si="634"/>
        <v>0</v>
      </c>
      <c r="CP118" s="1">
        <f t="shared" si="617"/>
        <v>0</v>
      </c>
      <c r="CQ118" s="1">
        <f t="shared" si="635"/>
        <v>0</v>
      </c>
      <c r="CR118" s="827">
        <f t="shared" si="636"/>
        <v>0</v>
      </c>
      <c r="CS118" s="1">
        <f t="shared" si="618"/>
        <v>0</v>
      </c>
      <c r="CT118" s="1">
        <f t="shared" si="637"/>
        <v>0</v>
      </c>
      <c r="CU118" s="827">
        <f t="shared" si="638"/>
        <v>0</v>
      </c>
      <c r="EA118" s="33"/>
      <c r="EB118" s="453" t="str">
        <f t="shared" si="538"/>
        <v/>
      </c>
      <c r="EC118" s="762" t="str">
        <f t="shared" si="539"/>
        <v/>
      </c>
      <c r="ED118" s="454" t="str">
        <f t="shared" si="541"/>
        <v/>
      </c>
      <c r="EE118" s="469"/>
      <c r="EF118" s="454" t="str">
        <f>IF($ED117="","",IF(AND($EH124&lt;&gt;"",$EH124&gt;$ED117),$EH124,IF(AND($EH125&lt;&gt;"",$EH125&gt;$ED117),$EH125,"")))</f>
        <v/>
      </c>
      <c r="EG118" s="454" t="str">
        <f t="shared" si="542"/>
        <v/>
      </c>
      <c r="EH118" s="454" t="str">
        <f t="shared" si="540"/>
        <v/>
      </c>
      <c r="EI118" s="760" t="s">
        <v>157</v>
      </c>
      <c r="EJ118" s="759">
        <v>2.5</v>
      </c>
      <c r="EK118" s="761">
        <f>SUMIF($EM$112:$EM$136,68.9,$EN$112:$EN$136)</f>
        <v>0</v>
      </c>
      <c r="EL118" s="522" t="str">
        <f t="shared" si="543"/>
        <v/>
      </c>
      <c r="EM118" s="17">
        <f t="shared" si="544"/>
        <v>0</v>
      </c>
      <c r="EN118" s="665">
        <f t="shared" si="576"/>
        <v>0</v>
      </c>
      <c r="EO118" s="665">
        <f t="shared" si="545"/>
        <v>0</v>
      </c>
      <c r="EP118" s="458">
        <f t="shared" si="546"/>
        <v>1</v>
      </c>
      <c r="EQ118" s="33"/>
      <c r="ER118" s="33"/>
      <c r="ES118" s="33"/>
      <c r="ET118" s="33"/>
      <c r="EU118" s="33"/>
      <c r="EV118" s="33"/>
      <c r="EW118" s="33"/>
      <c r="EX118" s="33"/>
      <c r="EY118" s="33">
        <v>7</v>
      </c>
      <c r="FD118" s="276" t="str">
        <f t="shared" si="547"/>
        <v/>
      </c>
      <c r="FE118" s="18">
        <f t="shared" si="548"/>
        <v>0</v>
      </c>
      <c r="FF118" s="275" t="str">
        <f t="shared" si="549"/>
        <v/>
      </c>
      <c r="FG118" s="145" t="str">
        <f t="shared" si="550"/>
        <v/>
      </c>
      <c r="FH118" s="19">
        <f t="shared" si="551"/>
        <v>0</v>
      </c>
      <c r="FI118" s="718"/>
      <c r="FJ118" s="701" t="str">
        <f t="shared" si="577"/>
        <v/>
      </c>
      <c r="FK118" s="66">
        <f t="shared" si="552"/>
        <v>0</v>
      </c>
      <c r="FL118" s="717"/>
      <c r="FM118" s="716"/>
      <c r="FN118" s="701" t="str">
        <f t="shared" si="578"/>
        <v/>
      </c>
      <c r="FO118" s="66">
        <f t="shared" si="553"/>
        <v>0</v>
      </c>
      <c r="FP118" s="717"/>
      <c r="FQ118" s="716"/>
      <c r="FR118" s="701" t="str">
        <f t="shared" si="579"/>
        <v/>
      </c>
      <c r="FS118" s="66">
        <f t="shared" si="554"/>
        <v>0</v>
      </c>
      <c r="FT118" s="717"/>
      <c r="FU118" s="716"/>
      <c r="FV118" s="701" t="str">
        <f t="shared" si="580"/>
        <v/>
      </c>
      <c r="FW118" s="66">
        <f t="shared" si="555"/>
        <v>0</v>
      </c>
      <c r="FX118" s="717"/>
      <c r="FY118" s="716"/>
      <c r="FZ118" s="701" t="str">
        <f t="shared" si="581"/>
        <v/>
      </c>
      <c r="GA118" s="66">
        <f t="shared" si="556"/>
        <v>0</v>
      </c>
      <c r="GB118" s="717"/>
      <c r="GC118" s="716"/>
      <c r="GD118" s="701" t="str">
        <f t="shared" si="582"/>
        <v/>
      </c>
      <c r="GE118" s="66">
        <f t="shared" si="557"/>
        <v>0</v>
      </c>
      <c r="GF118" s="717"/>
      <c r="GG118" s="716"/>
      <c r="GH118" s="701" t="str">
        <f t="shared" si="583"/>
        <v/>
      </c>
      <c r="GI118" s="66">
        <f t="shared" si="558"/>
        <v>0</v>
      </c>
      <c r="GJ118" s="717"/>
      <c r="GK118" s="716"/>
      <c r="GL118" s="701" t="str">
        <f t="shared" si="584"/>
        <v/>
      </c>
      <c r="GM118" s="66">
        <f t="shared" si="559"/>
        <v>0</v>
      </c>
      <c r="GN118" s="717"/>
      <c r="GO118" s="716"/>
      <c r="GP118" s="701" t="str">
        <f t="shared" si="585"/>
        <v/>
      </c>
      <c r="GQ118" s="66">
        <f t="shared" si="560"/>
        <v>0</v>
      </c>
      <c r="GR118" s="717"/>
      <c r="GS118" s="716"/>
      <c r="GT118" s="701" t="str">
        <f t="shared" si="586"/>
        <v/>
      </c>
      <c r="GU118" s="66">
        <f t="shared" si="561"/>
        <v>0</v>
      </c>
      <c r="GV118" s="717"/>
      <c r="GW118" s="716"/>
      <c r="GX118" s="701" t="str">
        <f t="shared" si="587"/>
        <v/>
      </c>
      <c r="GY118" s="66">
        <f t="shared" si="562"/>
        <v>0</v>
      </c>
      <c r="GZ118" s="717"/>
      <c r="HA118" s="716"/>
      <c r="HB118" s="701" t="str">
        <f t="shared" si="588"/>
        <v/>
      </c>
      <c r="HC118" s="66">
        <f t="shared" si="563"/>
        <v>0</v>
      </c>
      <c r="HD118" s="717"/>
      <c r="HE118" s="716"/>
      <c r="HF118" s="701" t="str">
        <f t="shared" si="589"/>
        <v/>
      </c>
      <c r="HG118" s="66">
        <f t="shared" si="564"/>
        <v>0</v>
      </c>
      <c r="HH118" s="717"/>
      <c r="HI118" s="716"/>
      <c r="HJ118" s="701" t="str">
        <f t="shared" si="590"/>
        <v/>
      </c>
      <c r="HK118" s="66">
        <f t="shared" si="565"/>
        <v>0</v>
      </c>
      <c r="HL118" s="717"/>
      <c r="HM118" s="716"/>
      <c r="HN118" s="701" t="str">
        <f t="shared" si="591"/>
        <v/>
      </c>
      <c r="HO118" s="66">
        <f t="shared" si="566"/>
        <v>0</v>
      </c>
      <c r="HP118" s="717"/>
      <c r="HQ118" s="716"/>
      <c r="HR118" s="701" t="str">
        <f t="shared" si="592"/>
        <v/>
      </c>
      <c r="HS118" s="66">
        <f t="shared" si="567"/>
        <v>0</v>
      </c>
      <c r="HT118" s="717"/>
      <c r="HU118" s="716"/>
      <c r="HV118" s="701" t="str">
        <f t="shared" si="593"/>
        <v/>
      </c>
      <c r="HW118" s="66">
        <f t="shared" si="568"/>
        <v>0</v>
      </c>
      <c r="HX118" s="717"/>
      <c r="HY118" s="716"/>
      <c r="HZ118" s="701" t="str">
        <f t="shared" si="594"/>
        <v/>
      </c>
      <c r="IA118" s="66">
        <f t="shared" si="569"/>
        <v>0</v>
      </c>
      <c r="IB118" s="717"/>
      <c r="IC118" s="716"/>
      <c r="ID118" s="701" t="str">
        <f t="shared" si="595"/>
        <v/>
      </c>
      <c r="IE118" s="66">
        <f t="shared" si="570"/>
        <v>0</v>
      </c>
      <c r="IF118" s="717"/>
      <c r="IG118" s="716"/>
      <c r="IH118" s="701" t="str">
        <f t="shared" si="596"/>
        <v/>
      </c>
      <c r="II118" s="66">
        <f t="shared" si="571"/>
        <v>0</v>
      </c>
      <c r="IJ118" s="717"/>
      <c r="IK118" s="716"/>
      <c r="IL118" s="701" t="str">
        <f t="shared" si="597"/>
        <v/>
      </c>
      <c r="IM118" s="66">
        <f t="shared" si="572"/>
        <v>0</v>
      </c>
      <c r="IN118" s="717"/>
      <c r="IO118" s="716"/>
      <c r="IP118" s="701" t="str">
        <f t="shared" si="598"/>
        <v/>
      </c>
      <c r="IQ118" s="66">
        <f t="shared" si="573"/>
        <v>0</v>
      </c>
      <c r="IR118" s="717"/>
      <c r="IS118" s="716"/>
      <c r="IT118" s="701" t="str">
        <f t="shared" si="599"/>
        <v/>
      </c>
      <c r="IU118" s="66">
        <f t="shared" si="574"/>
        <v>0</v>
      </c>
      <c r="IV118" s="717"/>
      <c r="IW118" s="716"/>
      <c r="IX118" s="701" t="str">
        <f t="shared" si="600"/>
        <v/>
      </c>
      <c r="IY118" s="66">
        <f t="shared" si="575"/>
        <v>0</v>
      </c>
    </row>
    <row r="119" spans="44:259" ht="13.3" thickTop="1" thickBot="1" x14ac:dyDescent="0.35">
      <c r="AT119" s="756" t="str">
        <f>IF(OR(AT116="",$BB$79=""),"",IF(LOOKUP($BB$79,$DN$54:$DN$78,DV$54:DV$78)="S1","",LOOKUP($BB$79,$DN$54:$DN$78,DV$54:DV$78)))</f>
        <v/>
      </c>
      <c r="AU119" s="216" t="str">
        <f t="shared" si="642"/>
        <v/>
      </c>
      <c r="AV119" s="814" t="str" cm="1">
        <f t="array" ref="AV119">IF(OR(AT119="",AU119=""),"",INDEX(B$25:$B$49,AU119))</f>
        <v/>
      </c>
      <c r="AW119" s="1469" t="str" cm="1">
        <f t="array" ref="AW119">IF(OR(AT119="",AU119=""),"",IF(INDEX($H$25:H$49,AU119)=$AU$7,"",INDEX($D$25:D$49,AU119)))</f>
        <v/>
      </c>
      <c r="AX119" s="247" t="str" cm="1">
        <f t="array" ref="AX119">IF(AU119="","",IF(AND(AV119="c",AW119="s"),"",INDEX($AC$25:$AC$49,AU119)))</f>
        <v/>
      </c>
      <c r="AY119" s="247" t="str">
        <f t="shared" si="643"/>
        <v/>
      </c>
      <c r="AZ119" s="756" t="str">
        <f t="shared" si="639"/>
        <v/>
      </c>
      <c r="BA119" s="247" t="str">
        <f t="shared" si="644"/>
        <v/>
      </c>
      <c r="BB119" s="817" t="str">
        <f t="shared" ref="BB119:BB124" si="647">IF(BB118="","",IF((BB118-1)&gt;0,BB118-1,""))</f>
        <v/>
      </c>
      <c r="BC119" s="247" t="str">
        <f t="shared" si="645"/>
        <v/>
      </c>
      <c r="BD119" s="1327" t="str">
        <f t="shared" si="640"/>
        <v/>
      </c>
      <c r="BE119" s="1461" t="str">
        <f t="shared" si="646"/>
        <v/>
      </c>
      <c r="BF119" s="1463" t="str">
        <f t="shared" si="641"/>
        <v/>
      </c>
      <c r="BG119" s="1">
        <v>5</v>
      </c>
      <c r="BH119" s="756" t="str">
        <f>IF(OR($AT$116="",$BB$80=""),"",IF(LOOKUP($BB$80,$DN$54:$DN$78,DX$54:DX$78)="S1","",LOOKUP($BB$80,$DN$54:$DN$78,DX$54:DX$78)))</f>
        <v/>
      </c>
      <c r="BI119" s="756" t="str">
        <f t="shared" si="619"/>
        <v/>
      </c>
      <c r="BK119" s="1488">
        <f t="shared" si="620"/>
        <v>1</v>
      </c>
      <c r="BL119" s="827">
        <f t="shared" si="601"/>
        <v>0</v>
      </c>
      <c r="BM119" s="216">
        <f t="shared" si="621"/>
        <v>0</v>
      </c>
      <c r="BN119" s="216">
        <f t="shared" si="602"/>
        <v>0</v>
      </c>
      <c r="BO119" s="216">
        <f t="shared" si="603"/>
        <v>0</v>
      </c>
      <c r="BP119" s="216">
        <f t="shared" si="604"/>
        <v>0</v>
      </c>
      <c r="BQ119" s="216">
        <f t="shared" si="605"/>
        <v>0</v>
      </c>
      <c r="BR119" s="216">
        <f t="shared" si="606"/>
        <v>0</v>
      </c>
      <c r="BS119" s="216">
        <f t="shared" si="607"/>
        <v>0</v>
      </c>
      <c r="BT119" s="216">
        <f t="shared" si="608"/>
        <v>0</v>
      </c>
      <c r="BU119" s="827">
        <f t="shared" si="622"/>
        <v>0</v>
      </c>
      <c r="BV119" s="828">
        <f t="shared" si="609"/>
        <v>0</v>
      </c>
      <c r="BW119" s="828">
        <f t="shared" si="610"/>
        <v>0</v>
      </c>
      <c r="BX119" s="1">
        <f t="shared" si="611"/>
        <v>0</v>
      </c>
      <c r="BY119" s="1">
        <f t="shared" si="623"/>
        <v>0</v>
      </c>
      <c r="BZ119" s="827">
        <f t="shared" si="624"/>
        <v>0</v>
      </c>
      <c r="CA119" s="1">
        <f t="shared" si="612"/>
        <v>0</v>
      </c>
      <c r="CB119" s="1">
        <f t="shared" si="625"/>
        <v>0</v>
      </c>
      <c r="CC119" s="827">
        <f t="shared" si="626"/>
        <v>0</v>
      </c>
      <c r="CD119" s="1">
        <f t="shared" si="613"/>
        <v>0</v>
      </c>
      <c r="CE119" s="1">
        <f t="shared" si="627"/>
        <v>0</v>
      </c>
      <c r="CF119" s="827">
        <f t="shared" si="628"/>
        <v>0</v>
      </c>
      <c r="CG119" s="1">
        <f t="shared" si="614"/>
        <v>0</v>
      </c>
      <c r="CH119" s="1">
        <f t="shared" si="629"/>
        <v>0</v>
      </c>
      <c r="CI119" s="827">
        <f t="shared" si="630"/>
        <v>0</v>
      </c>
      <c r="CJ119" s="1">
        <f t="shared" si="615"/>
        <v>0</v>
      </c>
      <c r="CK119" s="1">
        <f t="shared" si="631"/>
        <v>0</v>
      </c>
      <c r="CL119" s="827">
        <f t="shared" si="632"/>
        <v>0</v>
      </c>
      <c r="CM119" s="1">
        <f t="shared" si="616"/>
        <v>0</v>
      </c>
      <c r="CN119" s="1">
        <f t="shared" si="633"/>
        <v>0</v>
      </c>
      <c r="CO119" s="827">
        <f t="shared" si="634"/>
        <v>0</v>
      </c>
      <c r="CP119" s="1">
        <f t="shared" si="617"/>
        <v>0</v>
      </c>
      <c r="CQ119" s="1">
        <f t="shared" si="635"/>
        <v>0</v>
      </c>
      <c r="CR119" s="827">
        <f t="shared" si="636"/>
        <v>0</v>
      </c>
      <c r="CS119" s="1">
        <f t="shared" si="618"/>
        <v>0</v>
      </c>
      <c r="CT119" s="1">
        <f t="shared" si="637"/>
        <v>0</v>
      </c>
      <c r="CU119" s="827">
        <f t="shared" si="638"/>
        <v>0</v>
      </c>
      <c r="EA119" s="33"/>
      <c r="EB119" s="453" t="str">
        <f t="shared" si="538"/>
        <v/>
      </c>
      <c r="EC119" s="453" t="str">
        <f t="shared" si="539"/>
        <v/>
      </c>
      <c r="ED119" s="454" t="str">
        <f t="shared" si="541"/>
        <v/>
      </c>
      <c r="EE119" s="469"/>
      <c r="EF119" s="454" t="str">
        <f>IF($ED118="","",IF(AND($EH125&lt;&gt;"",$EH125&gt;$ED118),$EH125,""))</f>
        <v/>
      </c>
      <c r="EG119" s="454" t="str">
        <f t="shared" si="542"/>
        <v/>
      </c>
      <c r="EH119" s="454" t="str">
        <f t="shared" si="540"/>
        <v/>
      </c>
      <c r="EI119" s="760" t="s">
        <v>158</v>
      </c>
      <c r="EJ119" s="759">
        <v>3</v>
      </c>
      <c r="EK119" s="761">
        <f>SUMIF($EM$112:$EM$136,80.9,$EN$112:$EN$136)</f>
        <v>0</v>
      </c>
      <c r="EL119" s="522" t="str">
        <f t="shared" si="543"/>
        <v/>
      </c>
      <c r="EM119" s="17">
        <f t="shared" si="544"/>
        <v>0</v>
      </c>
      <c r="EN119" s="665">
        <f t="shared" si="576"/>
        <v>0</v>
      </c>
      <c r="EO119" s="665">
        <f t="shared" si="545"/>
        <v>0</v>
      </c>
      <c r="EP119" s="458">
        <f t="shared" si="546"/>
        <v>1</v>
      </c>
      <c r="EQ119" s="33"/>
      <c r="ER119" s="33"/>
      <c r="ES119" s="33"/>
      <c r="ET119" s="33"/>
      <c r="EU119" s="33"/>
      <c r="EV119" s="33"/>
      <c r="EW119" s="33"/>
      <c r="EX119" s="33"/>
      <c r="EY119" s="33">
        <v>8</v>
      </c>
      <c r="FD119" s="276" t="str">
        <f t="shared" si="547"/>
        <v/>
      </c>
      <c r="FE119" s="18">
        <f t="shared" si="548"/>
        <v>0</v>
      </c>
      <c r="FF119" s="275" t="str">
        <f t="shared" si="549"/>
        <v/>
      </c>
      <c r="FG119" s="145" t="str">
        <f t="shared" si="550"/>
        <v/>
      </c>
      <c r="FH119" s="19">
        <f t="shared" si="551"/>
        <v>0</v>
      </c>
      <c r="FI119" s="718"/>
      <c r="FJ119" s="701" t="str">
        <f t="shared" si="577"/>
        <v/>
      </c>
      <c r="FK119" s="66">
        <f t="shared" si="552"/>
        <v>0</v>
      </c>
      <c r="FL119" s="717"/>
      <c r="FM119" s="716"/>
      <c r="FN119" s="701" t="str">
        <f t="shared" si="578"/>
        <v/>
      </c>
      <c r="FO119" s="66">
        <f t="shared" si="553"/>
        <v>0</v>
      </c>
      <c r="FP119" s="717"/>
      <c r="FQ119" s="716"/>
      <c r="FR119" s="701" t="str">
        <f t="shared" si="579"/>
        <v/>
      </c>
      <c r="FS119" s="66">
        <f t="shared" si="554"/>
        <v>0</v>
      </c>
      <c r="FT119" s="717"/>
      <c r="FU119" s="716"/>
      <c r="FV119" s="701" t="str">
        <f t="shared" si="580"/>
        <v/>
      </c>
      <c r="FW119" s="66">
        <f t="shared" si="555"/>
        <v>0</v>
      </c>
      <c r="FX119" s="717"/>
      <c r="FY119" s="716"/>
      <c r="FZ119" s="701" t="str">
        <f t="shared" si="581"/>
        <v/>
      </c>
      <c r="GA119" s="66">
        <f t="shared" si="556"/>
        <v>0</v>
      </c>
      <c r="GB119" s="717"/>
      <c r="GC119" s="716"/>
      <c r="GD119" s="701" t="str">
        <f t="shared" si="582"/>
        <v/>
      </c>
      <c r="GE119" s="66">
        <f t="shared" si="557"/>
        <v>0</v>
      </c>
      <c r="GF119" s="717"/>
      <c r="GG119" s="716"/>
      <c r="GH119" s="701" t="str">
        <f t="shared" si="583"/>
        <v/>
      </c>
      <c r="GI119" s="66">
        <f t="shared" si="558"/>
        <v>0</v>
      </c>
      <c r="GJ119" s="717"/>
      <c r="GK119" s="716"/>
      <c r="GL119" s="701" t="str">
        <f t="shared" si="584"/>
        <v/>
      </c>
      <c r="GM119" s="66">
        <f t="shared" si="559"/>
        <v>0</v>
      </c>
      <c r="GN119" s="717"/>
      <c r="GO119" s="716"/>
      <c r="GP119" s="701" t="str">
        <f t="shared" si="585"/>
        <v/>
      </c>
      <c r="GQ119" s="66">
        <f t="shared" si="560"/>
        <v>0</v>
      </c>
      <c r="GR119" s="717"/>
      <c r="GS119" s="716"/>
      <c r="GT119" s="701" t="str">
        <f t="shared" si="586"/>
        <v/>
      </c>
      <c r="GU119" s="66">
        <f t="shared" si="561"/>
        <v>0</v>
      </c>
      <c r="GV119" s="717"/>
      <c r="GW119" s="716"/>
      <c r="GX119" s="701" t="str">
        <f t="shared" si="587"/>
        <v/>
      </c>
      <c r="GY119" s="66">
        <f t="shared" si="562"/>
        <v>0</v>
      </c>
      <c r="GZ119" s="717"/>
      <c r="HA119" s="716"/>
      <c r="HB119" s="701" t="str">
        <f t="shared" si="588"/>
        <v/>
      </c>
      <c r="HC119" s="66">
        <f t="shared" si="563"/>
        <v>0</v>
      </c>
      <c r="HD119" s="717"/>
      <c r="HE119" s="716"/>
      <c r="HF119" s="701" t="str">
        <f t="shared" si="589"/>
        <v/>
      </c>
      <c r="HG119" s="66">
        <f t="shared" si="564"/>
        <v>0</v>
      </c>
      <c r="HH119" s="717"/>
      <c r="HI119" s="716"/>
      <c r="HJ119" s="701" t="str">
        <f t="shared" si="590"/>
        <v/>
      </c>
      <c r="HK119" s="66">
        <f t="shared" si="565"/>
        <v>0</v>
      </c>
      <c r="HL119" s="717"/>
      <c r="HM119" s="716"/>
      <c r="HN119" s="701" t="str">
        <f t="shared" si="591"/>
        <v/>
      </c>
      <c r="HO119" s="66">
        <f t="shared" si="566"/>
        <v>0</v>
      </c>
      <c r="HP119" s="717"/>
      <c r="HQ119" s="716"/>
      <c r="HR119" s="701" t="str">
        <f t="shared" si="592"/>
        <v/>
      </c>
      <c r="HS119" s="66">
        <f t="shared" si="567"/>
        <v>0</v>
      </c>
      <c r="HT119" s="717"/>
      <c r="HU119" s="716"/>
      <c r="HV119" s="701" t="str">
        <f t="shared" si="593"/>
        <v/>
      </c>
      <c r="HW119" s="66">
        <f t="shared" si="568"/>
        <v>0</v>
      </c>
      <c r="HX119" s="717"/>
      <c r="HY119" s="716"/>
      <c r="HZ119" s="701" t="str">
        <f t="shared" si="594"/>
        <v/>
      </c>
      <c r="IA119" s="66">
        <f t="shared" si="569"/>
        <v>0</v>
      </c>
      <c r="IB119" s="717"/>
      <c r="IC119" s="716"/>
      <c r="ID119" s="701" t="str">
        <f t="shared" si="595"/>
        <v/>
      </c>
      <c r="IE119" s="66">
        <f t="shared" si="570"/>
        <v>0</v>
      </c>
      <c r="IF119" s="717"/>
      <c r="IG119" s="716"/>
      <c r="IH119" s="701" t="str">
        <f t="shared" si="596"/>
        <v/>
      </c>
      <c r="II119" s="66">
        <f t="shared" si="571"/>
        <v>0</v>
      </c>
      <c r="IJ119" s="717"/>
      <c r="IK119" s="716"/>
      <c r="IL119" s="701" t="str">
        <f t="shared" si="597"/>
        <v/>
      </c>
      <c r="IM119" s="66">
        <f t="shared" si="572"/>
        <v>0</v>
      </c>
      <c r="IN119" s="717"/>
      <c r="IO119" s="716"/>
      <c r="IP119" s="701" t="str">
        <f t="shared" si="598"/>
        <v/>
      </c>
      <c r="IQ119" s="66">
        <f t="shared" si="573"/>
        <v>0</v>
      </c>
      <c r="IR119" s="717"/>
      <c r="IS119" s="716"/>
      <c r="IT119" s="701" t="str">
        <f t="shared" si="599"/>
        <v/>
      </c>
      <c r="IU119" s="66">
        <f t="shared" si="574"/>
        <v>0</v>
      </c>
      <c r="IV119" s="717"/>
      <c r="IW119" s="716"/>
      <c r="IX119" s="701" t="str">
        <f t="shared" si="600"/>
        <v/>
      </c>
      <c r="IY119" s="66">
        <f t="shared" si="575"/>
        <v>0</v>
      </c>
    </row>
    <row r="120" spans="44:259" ht="13.3" thickTop="1" thickBot="1" x14ac:dyDescent="0.35">
      <c r="AT120" s="756" t="str">
        <f>IF(OR(AT116="",$BB$79=""),"",IF(LOOKUP($BB$79,$DN$54:$DN$78,DW$54:DW$78)="S1","",LOOKUP($BB$79,$DN$54:$DN$78,DW$54:DW$78)))</f>
        <v/>
      </c>
      <c r="AU120" s="216" t="str">
        <f t="shared" si="642"/>
        <v/>
      </c>
      <c r="AV120" s="814" t="str" cm="1">
        <f t="array" ref="AV120">IF(OR(AT120="",AU120=""),"",INDEX(B$25:$B$49,AU120))</f>
        <v/>
      </c>
      <c r="AW120" s="1469" t="str" cm="1">
        <f t="array" ref="AW120">IF(OR(AT120="",AU120=""),"",IF(INDEX($H$25:H$49,AU120)=$AU$7,"",INDEX($D$25:D$49,AU120)))</f>
        <v/>
      </c>
      <c r="AX120" s="247" t="str" cm="1">
        <f t="array" ref="AX120">IF(AU120="","",IF(AND(AV120="c",AW120="s"),"",INDEX($AC$25:$AC$49,AU120)))</f>
        <v/>
      </c>
      <c r="AY120" s="247" t="str">
        <f t="shared" si="643"/>
        <v/>
      </c>
      <c r="AZ120" s="756" t="str">
        <f t="shared" si="639"/>
        <v/>
      </c>
      <c r="BA120" s="247" t="str">
        <f t="shared" si="644"/>
        <v/>
      </c>
      <c r="BB120" s="817" t="str">
        <f t="shared" si="647"/>
        <v/>
      </c>
      <c r="BC120" s="247" t="str">
        <f t="shared" si="645"/>
        <v/>
      </c>
      <c r="BD120" s="1327" t="str">
        <f t="shared" si="640"/>
        <v/>
      </c>
      <c r="BE120" s="1461" t="str">
        <f t="shared" si="646"/>
        <v/>
      </c>
      <c r="BF120" s="1463" t="str">
        <f t="shared" si="641"/>
        <v/>
      </c>
      <c r="BG120" s="1">
        <v>6</v>
      </c>
      <c r="BH120" s="756" t="str">
        <f>IF(OR($AT$116="",$BB$80=""),"",IF(LOOKUP($BB$80,$DN$54:$DN$78,DY$54:DY$78)="S1","",LOOKUP($BB$80,$DN$54:$DN$78,DY$54:DY$78)))</f>
        <v/>
      </c>
      <c r="BI120" s="756" t="str">
        <f t="shared" si="619"/>
        <v/>
      </c>
      <c r="BK120" s="1488">
        <f t="shared" si="620"/>
        <v>1</v>
      </c>
      <c r="BL120" s="827">
        <f t="shared" si="601"/>
        <v>0</v>
      </c>
      <c r="BM120" s="216">
        <f t="shared" si="621"/>
        <v>0</v>
      </c>
      <c r="BN120" s="216">
        <f t="shared" si="602"/>
        <v>0</v>
      </c>
      <c r="BO120" s="216">
        <f t="shared" si="603"/>
        <v>0</v>
      </c>
      <c r="BP120" s="216">
        <f t="shared" si="604"/>
        <v>0</v>
      </c>
      <c r="BQ120" s="216">
        <f t="shared" si="605"/>
        <v>0</v>
      </c>
      <c r="BR120" s="216">
        <f t="shared" si="606"/>
        <v>0</v>
      </c>
      <c r="BS120" s="216">
        <f t="shared" si="607"/>
        <v>0</v>
      </c>
      <c r="BT120" s="216">
        <f t="shared" si="608"/>
        <v>0</v>
      </c>
      <c r="BU120" s="827">
        <f t="shared" si="622"/>
        <v>0</v>
      </c>
      <c r="BV120" s="828">
        <f t="shared" si="609"/>
        <v>0</v>
      </c>
      <c r="BW120" s="828">
        <f t="shared" si="610"/>
        <v>0</v>
      </c>
      <c r="BX120" s="1">
        <f t="shared" si="611"/>
        <v>0</v>
      </c>
      <c r="BY120" s="1">
        <f t="shared" si="623"/>
        <v>0</v>
      </c>
      <c r="BZ120" s="827">
        <f t="shared" si="624"/>
        <v>0</v>
      </c>
      <c r="CA120" s="1">
        <f t="shared" si="612"/>
        <v>0</v>
      </c>
      <c r="CB120" s="1">
        <f t="shared" si="625"/>
        <v>0</v>
      </c>
      <c r="CC120" s="827">
        <f t="shared" si="626"/>
        <v>0</v>
      </c>
      <c r="CD120" s="1">
        <f t="shared" si="613"/>
        <v>0</v>
      </c>
      <c r="CE120" s="1">
        <f t="shared" si="627"/>
        <v>0</v>
      </c>
      <c r="CF120" s="827">
        <f t="shared" si="628"/>
        <v>0</v>
      </c>
      <c r="CG120" s="1">
        <f t="shared" si="614"/>
        <v>0</v>
      </c>
      <c r="CH120" s="1">
        <f t="shared" si="629"/>
        <v>0</v>
      </c>
      <c r="CI120" s="827">
        <f t="shared" si="630"/>
        <v>0</v>
      </c>
      <c r="CJ120" s="1">
        <f t="shared" si="615"/>
        <v>0</v>
      </c>
      <c r="CK120" s="1">
        <f t="shared" si="631"/>
        <v>0</v>
      </c>
      <c r="CL120" s="827">
        <f t="shared" si="632"/>
        <v>0</v>
      </c>
      <c r="CM120" s="1">
        <f t="shared" si="616"/>
        <v>0</v>
      </c>
      <c r="CN120" s="1">
        <f t="shared" si="633"/>
        <v>0</v>
      </c>
      <c r="CO120" s="827">
        <f t="shared" si="634"/>
        <v>0</v>
      </c>
      <c r="CP120" s="1">
        <f t="shared" si="617"/>
        <v>0</v>
      </c>
      <c r="CQ120" s="1">
        <f t="shared" si="635"/>
        <v>0</v>
      </c>
      <c r="CR120" s="827">
        <f t="shared" si="636"/>
        <v>0</v>
      </c>
      <c r="CS120" s="1">
        <f t="shared" si="618"/>
        <v>0</v>
      </c>
      <c r="CT120" s="1">
        <f t="shared" si="637"/>
        <v>0</v>
      </c>
      <c r="CU120" s="827">
        <f t="shared" si="638"/>
        <v>0</v>
      </c>
      <c r="EA120" s="33"/>
      <c r="EB120" s="453" t="str">
        <f t="shared" si="538"/>
        <v/>
      </c>
      <c r="EC120" s="453" t="str">
        <f t="shared" si="539"/>
        <v/>
      </c>
      <c r="ED120" s="454" t="str">
        <f t="shared" si="541"/>
        <v/>
      </c>
      <c r="EE120" s="469"/>
      <c r="EF120" s="456"/>
      <c r="EG120" s="454" t="str">
        <f t="shared" si="542"/>
        <v/>
      </c>
      <c r="EH120" s="454" t="str">
        <f t="shared" si="540"/>
        <v/>
      </c>
      <c r="EI120" s="760" t="s">
        <v>20</v>
      </c>
      <c r="EJ120" s="759">
        <v>4</v>
      </c>
      <c r="EK120" s="761">
        <f>SUMIF($EM$112:$EM$136,105.3,$EN$112:$EN$136)</f>
        <v>0</v>
      </c>
      <c r="EL120" s="522" t="str">
        <f t="shared" si="543"/>
        <v/>
      </c>
      <c r="EM120" s="17">
        <f t="shared" si="544"/>
        <v>0</v>
      </c>
      <c r="EN120" s="665">
        <f t="shared" si="576"/>
        <v>0</v>
      </c>
      <c r="EO120" s="665">
        <f t="shared" si="545"/>
        <v>0</v>
      </c>
      <c r="EP120" s="458">
        <f t="shared" si="546"/>
        <v>1</v>
      </c>
      <c r="EQ120" s="33"/>
      <c r="ER120" s="33"/>
      <c r="ES120" s="33"/>
      <c r="ET120" s="33"/>
      <c r="EU120" s="33"/>
      <c r="EV120" s="33"/>
      <c r="EW120" s="33"/>
      <c r="EX120" s="33"/>
      <c r="EY120" s="33">
        <v>9</v>
      </c>
      <c r="FC120" s="77"/>
      <c r="FD120" s="276" t="str">
        <f t="shared" si="547"/>
        <v/>
      </c>
      <c r="FE120" s="18">
        <f t="shared" si="548"/>
        <v>0</v>
      </c>
      <c r="FF120" s="275" t="str">
        <f t="shared" si="549"/>
        <v/>
      </c>
      <c r="FG120" s="145" t="str">
        <f t="shared" si="550"/>
        <v/>
      </c>
      <c r="FH120" s="19">
        <f t="shared" si="551"/>
        <v>0</v>
      </c>
      <c r="FI120" s="718"/>
      <c r="FJ120" s="701" t="str">
        <f t="shared" si="577"/>
        <v/>
      </c>
      <c r="FK120" s="66">
        <f t="shared" si="552"/>
        <v>0</v>
      </c>
      <c r="FL120" s="717"/>
      <c r="FM120" s="716"/>
      <c r="FN120" s="701" t="str">
        <f t="shared" si="578"/>
        <v/>
      </c>
      <c r="FO120" s="66">
        <f t="shared" si="553"/>
        <v>0</v>
      </c>
      <c r="FP120" s="717"/>
      <c r="FQ120" s="716"/>
      <c r="FR120" s="701" t="str">
        <f t="shared" si="579"/>
        <v/>
      </c>
      <c r="FS120" s="66">
        <f t="shared" si="554"/>
        <v>0</v>
      </c>
      <c r="FT120" s="717"/>
      <c r="FU120" s="716"/>
      <c r="FV120" s="701" t="str">
        <f t="shared" si="580"/>
        <v/>
      </c>
      <c r="FW120" s="66">
        <f t="shared" si="555"/>
        <v>0</v>
      </c>
      <c r="FX120" s="717"/>
      <c r="FY120" s="716"/>
      <c r="FZ120" s="701" t="str">
        <f t="shared" si="581"/>
        <v/>
      </c>
      <c r="GA120" s="66">
        <f t="shared" si="556"/>
        <v>0</v>
      </c>
      <c r="GB120" s="717"/>
      <c r="GC120" s="716"/>
      <c r="GD120" s="701" t="str">
        <f t="shared" si="582"/>
        <v/>
      </c>
      <c r="GE120" s="66">
        <f t="shared" si="557"/>
        <v>0</v>
      </c>
      <c r="GF120" s="717"/>
      <c r="GG120" s="716"/>
      <c r="GH120" s="701" t="str">
        <f t="shared" si="583"/>
        <v/>
      </c>
      <c r="GI120" s="66">
        <f t="shared" si="558"/>
        <v>0</v>
      </c>
      <c r="GJ120" s="717"/>
      <c r="GK120" s="716"/>
      <c r="GL120" s="701" t="str">
        <f t="shared" si="584"/>
        <v/>
      </c>
      <c r="GM120" s="66">
        <f t="shared" si="559"/>
        <v>0</v>
      </c>
      <c r="GN120" s="717"/>
      <c r="GO120" s="716"/>
      <c r="GP120" s="701" t="str">
        <f t="shared" si="585"/>
        <v/>
      </c>
      <c r="GQ120" s="66">
        <f t="shared" si="560"/>
        <v>0</v>
      </c>
      <c r="GR120" s="717"/>
      <c r="GS120" s="716"/>
      <c r="GT120" s="701" t="str">
        <f t="shared" si="586"/>
        <v/>
      </c>
      <c r="GU120" s="66">
        <f t="shared" si="561"/>
        <v>0</v>
      </c>
      <c r="GV120" s="717"/>
      <c r="GW120" s="716"/>
      <c r="GX120" s="701" t="str">
        <f t="shared" si="587"/>
        <v/>
      </c>
      <c r="GY120" s="66">
        <f t="shared" si="562"/>
        <v>0</v>
      </c>
      <c r="GZ120" s="717"/>
      <c r="HA120" s="716"/>
      <c r="HB120" s="701" t="str">
        <f t="shared" si="588"/>
        <v/>
      </c>
      <c r="HC120" s="66">
        <f t="shared" si="563"/>
        <v>0</v>
      </c>
      <c r="HD120" s="717"/>
      <c r="HE120" s="716"/>
      <c r="HF120" s="701" t="str">
        <f t="shared" si="589"/>
        <v/>
      </c>
      <c r="HG120" s="66">
        <f t="shared" si="564"/>
        <v>0</v>
      </c>
      <c r="HH120" s="717"/>
      <c r="HI120" s="716"/>
      <c r="HJ120" s="701" t="str">
        <f t="shared" si="590"/>
        <v/>
      </c>
      <c r="HK120" s="66">
        <f t="shared" si="565"/>
        <v>0</v>
      </c>
      <c r="HL120" s="717"/>
      <c r="HM120" s="716"/>
      <c r="HN120" s="701" t="str">
        <f t="shared" si="591"/>
        <v/>
      </c>
      <c r="HO120" s="66">
        <f t="shared" si="566"/>
        <v>0</v>
      </c>
      <c r="HP120" s="717"/>
      <c r="HQ120" s="716"/>
      <c r="HR120" s="701" t="str">
        <f t="shared" si="592"/>
        <v/>
      </c>
      <c r="HS120" s="66">
        <f t="shared" si="567"/>
        <v>0</v>
      </c>
      <c r="HT120" s="717"/>
      <c r="HU120" s="716"/>
      <c r="HV120" s="701" t="str">
        <f t="shared" si="593"/>
        <v/>
      </c>
      <c r="HW120" s="66">
        <f t="shared" si="568"/>
        <v>0</v>
      </c>
      <c r="HX120" s="717"/>
      <c r="HY120" s="716"/>
      <c r="HZ120" s="701" t="str">
        <f t="shared" si="594"/>
        <v/>
      </c>
      <c r="IA120" s="66">
        <f t="shared" si="569"/>
        <v>0</v>
      </c>
      <c r="IB120" s="717"/>
      <c r="IC120" s="716"/>
      <c r="ID120" s="701" t="str">
        <f t="shared" si="595"/>
        <v/>
      </c>
      <c r="IE120" s="66">
        <f t="shared" si="570"/>
        <v>0</v>
      </c>
      <c r="IF120" s="717"/>
      <c r="IG120" s="716"/>
      <c r="IH120" s="701" t="str">
        <f t="shared" si="596"/>
        <v/>
      </c>
      <c r="II120" s="66">
        <f t="shared" si="571"/>
        <v>0</v>
      </c>
      <c r="IJ120" s="717"/>
      <c r="IK120" s="716"/>
      <c r="IL120" s="701" t="str">
        <f t="shared" si="597"/>
        <v/>
      </c>
      <c r="IM120" s="66">
        <f t="shared" si="572"/>
        <v>0</v>
      </c>
      <c r="IN120" s="717"/>
      <c r="IO120" s="716"/>
      <c r="IP120" s="701" t="str">
        <f t="shared" si="598"/>
        <v/>
      </c>
      <c r="IQ120" s="66">
        <f t="shared" si="573"/>
        <v>0</v>
      </c>
      <c r="IR120" s="717"/>
      <c r="IS120" s="716"/>
      <c r="IT120" s="701" t="str">
        <f t="shared" si="599"/>
        <v/>
      </c>
      <c r="IU120" s="66">
        <f t="shared" si="574"/>
        <v>0</v>
      </c>
      <c r="IV120" s="717"/>
      <c r="IW120" s="716"/>
      <c r="IX120" s="701" t="str">
        <f t="shared" si="600"/>
        <v/>
      </c>
      <c r="IY120" s="66">
        <f t="shared" si="575"/>
        <v>0</v>
      </c>
    </row>
    <row r="121" spans="44:259" ht="13.3" thickTop="1" thickBot="1" x14ac:dyDescent="0.35">
      <c r="AT121" s="756" t="str">
        <f>IF(OR(AT116="",$BB$79=""),"",IF(LOOKUP($BB$79,$DN$54:$DN$78,DX$54:DX$78)="S1","",LOOKUP($BB$79,$DN$54:$DN$78,DX$54:DX$78)))</f>
        <v/>
      </c>
      <c r="AU121" s="216" t="str">
        <f t="shared" si="642"/>
        <v/>
      </c>
      <c r="AV121" s="814" t="str" cm="1">
        <f t="array" ref="AV121">IF(OR(AT121="",AU121=""),"",INDEX(B$25:$B$49,AU121))</f>
        <v/>
      </c>
      <c r="AW121" s="1469" t="str" cm="1">
        <f t="array" ref="AW121">IF(OR(AT121="",AU121=""),"",IF(INDEX($H$25:H$49,AU121)=$AU$7,"",INDEX($D$25:D$49,AU121)))</f>
        <v/>
      </c>
      <c r="AX121" s="247" t="str" cm="1">
        <f t="array" ref="AX121">IF(AU121="","",IF(AND(AV121="c",AW121="s"),"",INDEX($AC$25:$AC$49,AU121)))</f>
        <v/>
      </c>
      <c r="AY121" s="247" t="str">
        <f t="shared" si="643"/>
        <v/>
      </c>
      <c r="AZ121" s="756" t="str">
        <f t="shared" si="639"/>
        <v/>
      </c>
      <c r="BA121" s="247" t="str">
        <f t="shared" si="644"/>
        <v/>
      </c>
      <c r="BB121" s="817" t="str">
        <f t="shared" si="647"/>
        <v/>
      </c>
      <c r="BC121" s="247" t="str">
        <f t="shared" si="645"/>
        <v/>
      </c>
      <c r="BD121" s="1327" t="str">
        <f t="shared" si="640"/>
        <v/>
      </c>
      <c r="BE121" s="1461" t="str">
        <f t="shared" si="646"/>
        <v/>
      </c>
      <c r="BF121" s="1463" t="str">
        <f t="shared" si="641"/>
        <v/>
      </c>
      <c r="BG121" s="1">
        <v>7</v>
      </c>
      <c r="BH121" s="756" t="str">
        <f>IF(OR($AT$116="",$BB$80=""),"",IF(LOOKUP($BB$80,$DN$54:$DN$78,DZ$54:DZ$78)="S1","",LOOKUP($BB$80,$DN$54:$DN$78,DZ$54:DZ$78)))</f>
        <v/>
      </c>
      <c r="BI121" s="756" t="str">
        <f t="shared" si="619"/>
        <v/>
      </c>
      <c r="BK121" s="1488">
        <f t="shared" si="620"/>
        <v>1</v>
      </c>
      <c r="BL121" s="827">
        <f t="shared" si="601"/>
        <v>0</v>
      </c>
      <c r="BM121" s="216">
        <f t="shared" si="621"/>
        <v>0</v>
      </c>
      <c r="BN121" s="216">
        <f t="shared" si="602"/>
        <v>0</v>
      </c>
      <c r="BO121" s="216">
        <f t="shared" si="603"/>
        <v>0</v>
      </c>
      <c r="BP121" s="216">
        <f t="shared" si="604"/>
        <v>0</v>
      </c>
      <c r="BQ121" s="216">
        <f t="shared" si="605"/>
        <v>0</v>
      </c>
      <c r="BR121" s="216">
        <f t="shared" si="606"/>
        <v>0</v>
      </c>
      <c r="BS121" s="216">
        <f t="shared" si="607"/>
        <v>0</v>
      </c>
      <c r="BT121" s="216">
        <f t="shared" si="608"/>
        <v>0</v>
      </c>
      <c r="BU121" s="827">
        <f t="shared" si="622"/>
        <v>0</v>
      </c>
      <c r="BV121" s="828">
        <f t="shared" si="609"/>
        <v>0</v>
      </c>
      <c r="BW121" s="828">
        <f t="shared" si="610"/>
        <v>0</v>
      </c>
      <c r="BX121" s="1">
        <f t="shared" si="611"/>
        <v>0</v>
      </c>
      <c r="BY121" s="1">
        <f t="shared" si="623"/>
        <v>0</v>
      </c>
      <c r="BZ121" s="827">
        <f t="shared" si="624"/>
        <v>0</v>
      </c>
      <c r="CA121" s="1">
        <f t="shared" si="612"/>
        <v>0</v>
      </c>
      <c r="CB121" s="1">
        <f t="shared" si="625"/>
        <v>0</v>
      </c>
      <c r="CC121" s="827">
        <f t="shared" si="626"/>
        <v>0</v>
      </c>
      <c r="CD121" s="1">
        <f t="shared" si="613"/>
        <v>0</v>
      </c>
      <c r="CE121" s="1">
        <f t="shared" si="627"/>
        <v>0</v>
      </c>
      <c r="CF121" s="827">
        <f t="shared" si="628"/>
        <v>0</v>
      </c>
      <c r="CG121" s="1">
        <f t="shared" si="614"/>
        <v>0</v>
      </c>
      <c r="CH121" s="1">
        <f t="shared" si="629"/>
        <v>0</v>
      </c>
      <c r="CI121" s="827">
        <f t="shared" si="630"/>
        <v>0</v>
      </c>
      <c r="CJ121" s="1">
        <f t="shared" si="615"/>
        <v>0</v>
      </c>
      <c r="CK121" s="1">
        <f t="shared" si="631"/>
        <v>0</v>
      </c>
      <c r="CL121" s="827">
        <f t="shared" si="632"/>
        <v>0</v>
      </c>
      <c r="CM121" s="1">
        <f t="shared" si="616"/>
        <v>0</v>
      </c>
      <c r="CN121" s="1">
        <f t="shared" si="633"/>
        <v>0</v>
      </c>
      <c r="CO121" s="827">
        <f t="shared" si="634"/>
        <v>0</v>
      </c>
      <c r="CP121" s="1">
        <f t="shared" si="617"/>
        <v>0</v>
      </c>
      <c r="CQ121" s="1">
        <f t="shared" si="635"/>
        <v>0</v>
      </c>
      <c r="CR121" s="827">
        <f t="shared" si="636"/>
        <v>0</v>
      </c>
      <c r="CS121" s="1">
        <f t="shared" si="618"/>
        <v>0</v>
      </c>
      <c r="CT121" s="1">
        <f t="shared" si="637"/>
        <v>0</v>
      </c>
      <c r="CU121" s="827">
        <f t="shared" si="638"/>
        <v>0</v>
      </c>
      <c r="EA121" s="33"/>
      <c r="EB121" s="453" t="str">
        <f t="shared" si="538"/>
        <v/>
      </c>
      <c r="EC121" s="453" t="str">
        <f t="shared" si="539"/>
        <v/>
      </c>
      <c r="ED121" s="454" t="str">
        <f t="shared" si="541"/>
        <v/>
      </c>
      <c r="EE121" s="469"/>
      <c r="EF121" s="456"/>
      <c r="EG121" s="454" t="str">
        <f>IF($ED120="","",IF(AND($EH121&lt;&gt;"",$EH121&gt;$ED120),$EH121,IF(AND($EH122&lt;&gt;"",$EH122&gt;$ED120),$EH122,IF(AND($EH123&lt;&gt;"",$EH123&gt;$ED120),$EH123,IF(AND($EH124&lt;&gt;"",$EH124&gt;$ED120),$EH124,IF(AND($EH125&lt;&gt;"",$EH125&gt;$ED120),$EH125,""))))))</f>
        <v/>
      </c>
      <c r="EH121" s="454" t="str">
        <f t="shared" si="540"/>
        <v/>
      </c>
      <c r="EI121" s="760" t="s">
        <v>21</v>
      </c>
      <c r="EJ121" s="759">
        <v>5</v>
      </c>
      <c r="EK121" s="761">
        <f>SUMIF($EM$112:$EM$136,129.7,$EN$112:$EN$136)</f>
        <v>0</v>
      </c>
      <c r="EL121" s="522" t="str">
        <f t="shared" si="543"/>
        <v/>
      </c>
      <c r="EM121" s="17">
        <f t="shared" si="544"/>
        <v>0</v>
      </c>
      <c r="EN121" s="665">
        <f t="shared" si="576"/>
        <v>0</v>
      </c>
      <c r="EO121" s="665">
        <f t="shared" si="545"/>
        <v>0</v>
      </c>
      <c r="EP121" s="458">
        <f t="shared" si="546"/>
        <v>1</v>
      </c>
      <c r="EQ121" s="33"/>
      <c r="ER121" s="33"/>
      <c r="ES121" s="33"/>
      <c r="ET121" s="33"/>
      <c r="EU121" s="33"/>
      <c r="EV121" s="33"/>
      <c r="EW121" s="33"/>
      <c r="EX121" s="33"/>
      <c r="EY121" s="33">
        <v>10</v>
      </c>
      <c r="FD121" s="276" t="str">
        <f t="shared" si="547"/>
        <v/>
      </c>
      <c r="FE121" s="18">
        <f t="shared" si="548"/>
        <v>0</v>
      </c>
      <c r="FF121" s="275" t="str">
        <f t="shared" si="549"/>
        <v/>
      </c>
      <c r="FG121" s="145" t="str">
        <f t="shared" si="550"/>
        <v/>
      </c>
      <c r="FH121" s="19">
        <f t="shared" si="551"/>
        <v>0</v>
      </c>
      <c r="FI121" s="718"/>
      <c r="FJ121" s="701" t="str">
        <f t="shared" si="577"/>
        <v/>
      </c>
      <c r="FK121" s="66">
        <f t="shared" si="552"/>
        <v>0</v>
      </c>
      <c r="FL121" s="717"/>
      <c r="FM121" s="716"/>
      <c r="FN121" s="701" t="str">
        <f t="shared" si="578"/>
        <v/>
      </c>
      <c r="FO121" s="66">
        <f t="shared" si="553"/>
        <v>0</v>
      </c>
      <c r="FP121" s="717"/>
      <c r="FQ121" s="716"/>
      <c r="FR121" s="701" t="str">
        <f t="shared" si="579"/>
        <v/>
      </c>
      <c r="FS121" s="66">
        <f t="shared" si="554"/>
        <v>0</v>
      </c>
      <c r="FT121" s="717"/>
      <c r="FU121" s="716"/>
      <c r="FV121" s="701" t="str">
        <f t="shared" si="580"/>
        <v/>
      </c>
      <c r="FW121" s="66">
        <f t="shared" si="555"/>
        <v>0</v>
      </c>
      <c r="FX121" s="717"/>
      <c r="FY121" s="716"/>
      <c r="FZ121" s="701" t="str">
        <f t="shared" si="581"/>
        <v/>
      </c>
      <c r="GA121" s="66">
        <f t="shared" si="556"/>
        <v>0</v>
      </c>
      <c r="GB121" s="717"/>
      <c r="GC121" s="716"/>
      <c r="GD121" s="701" t="str">
        <f t="shared" si="582"/>
        <v/>
      </c>
      <c r="GE121" s="66">
        <f t="shared" si="557"/>
        <v>0</v>
      </c>
      <c r="GF121" s="717"/>
      <c r="GG121" s="716"/>
      <c r="GH121" s="701" t="str">
        <f t="shared" si="583"/>
        <v/>
      </c>
      <c r="GI121" s="66">
        <f t="shared" si="558"/>
        <v>0</v>
      </c>
      <c r="GJ121" s="717"/>
      <c r="GK121" s="716"/>
      <c r="GL121" s="701" t="str">
        <f t="shared" si="584"/>
        <v/>
      </c>
      <c r="GM121" s="66">
        <f t="shared" si="559"/>
        <v>0</v>
      </c>
      <c r="GN121" s="717"/>
      <c r="GO121" s="716"/>
      <c r="GP121" s="701" t="str">
        <f t="shared" si="585"/>
        <v/>
      </c>
      <c r="GQ121" s="66">
        <f t="shared" si="560"/>
        <v>0</v>
      </c>
      <c r="GR121" s="717"/>
      <c r="GS121" s="716"/>
      <c r="GT121" s="701" t="str">
        <f t="shared" si="586"/>
        <v/>
      </c>
      <c r="GU121" s="66">
        <f t="shared" si="561"/>
        <v>0</v>
      </c>
      <c r="GV121" s="717"/>
      <c r="GW121" s="716"/>
      <c r="GX121" s="701" t="str">
        <f t="shared" si="587"/>
        <v/>
      </c>
      <c r="GY121" s="66">
        <f t="shared" si="562"/>
        <v>0</v>
      </c>
      <c r="GZ121" s="717"/>
      <c r="HA121" s="716"/>
      <c r="HB121" s="701" t="str">
        <f t="shared" si="588"/>
        <v/>
      </c>
      <c r="HC121" s="66">
        <f t="shared" si="563"/>
        <v>0</v>
      </c>
      <c r="HD121" s="717"/>
      <c r="HE121" s="716"/>
      <c r="HF121" s="701" t="str">
        <f t="shared" si="589"/>
        <v/>
      </c>
      <c r="HG121" s="66">
        <f t="shared" si="564"/>
        <v>0</v>
      </c>
      <c r="HH121" s="717"/>
      <c r="HI121" s="716"/>
      <c r="HJ121" s="701" t="str">
        <f t="shared" si="590"/>
        <v/>
      </c>
      <c r="HK121" s="66">
        <f t="shared" si="565"/>
        <v>0</v>
      </c>
      <c r="HL121" s="717"/>
      <c r="HM121" s="716"/>
      <c r="HN121" s="701" t="str">
        <f t="shared" si="591"/>
        <v/>
      </c>
      <c r="HO121" s="66">
        <f t="shared" si="566"/>
        <v>0</v>
      </c>
      <c r="HP121" s="717"/>
      <c r="HQ121" s="716"/>
      <c r="HR121" s="701" t="str">
        <f t="shared" si="592"/>
        <v/>
      </c>
      <c r="HS121" s="66">
        <f t="shared" si="567"/>
        <v>0</v>
      </c>
      <c r="HT121" s="717"/>
      <c r="HU121" s="716"/>
      <c r="HV121" s="701" t="str">
        <f t="shared" si="593"/>
        <v/>
      </c>
      <c r="HW121" s="66">
        <f t="shared" si="568"/>
        <v>0</v>
      </c>
      <c r="HX121" s="717"/>
      <c r="HY121" s="716"/>
      <c r="HZ121" s="701" t="str">
        <f t="shared" si="594"/>
        <v/>
      </c>
      <c r="IA121" s="66">
        <f t="shared" si="569"/>
        <v>0</v>
      </c>
      <c r="IB121" s="717"/>
      <c r="IC121" s="716"/>
      <c r="ID121" s="701" t="str">
        <f t="shared" si="595"/>
        <v/>
      </c>
      <c r="IE121" s="66">
        <f t="shared" si="570"/>
        <v>0</v>
      </c>
      <c r="IF121" s="717"/>
      <c r="IG121" s="716"/>
      <c r="IH121" s="701" t="str">
        <f t="shared" si="596"/>
        <v/>
      </c>
      <c r="II121" s="66">
        <f t="shared" si="571"/>
        <v>0</v>
      </c>
      <c r="IJ121" s="717"/>
      <c r="IK121" s="716"/>
      <c r="IL121" s="701" t="str">
        <f t="shared" si="597"/>
        <v/>
      </c>
      <c r="IM121" s="66">
        <f t="shared" si="572"/>
        <v>0</v>
      </c>
      <c r="IN121" s="717"/>
      <c r="IO121" s="716"/>
      <c r="IP121" s="701" t="str">
        <f t="shared" si="598"/>
        <v/>
      </c>
      <c r="IQ121" s="66">
        <f t="shared" si="573"/>
        <v>0</v>
      </c>
      <c r="IR121" s="717"/>
      <c r="IS121" s="716"/>
      <c r="IT121" s="701" t="str">
        <f t="shared" si="599"/>
        <v/>
      </c>
      <c r="IU121" s="66">
        <f t="shared" si="574"/>
        <v>0</v>
      </c>
      <c r="IV121" s="717"/>
      <c r="IW121" s="716"/>
      <c r="IX121" s="701" t="str">
        <f t="shared" si="600"/>
        <v/>
      </c>
      <c r="IY121" s="66">
        <f t="shared" si="575"/>
        <v>0</v>
      </c>
    </row>
    <row r="122" spans="44:259" ht="13.3" thickTop="1" thickBot="1" x14ac:dyDescent="0.35">
      <c r="AT122" s="756" t="str">
        <f>IF(OR(AT116="",$BB$79=""),"",IF(LOOKUP($BB$79,$DN$54:$DN$78,DY$54:DY$78)="S1","",LOOKUP($BB$79,$DN$54:$DN$78,DY$54:DY$78)))</f>
        <v/>
      </c>
      <c r="AU122" s="216" t="str">
        <f t="shared" si="642"/>
        <v/>
      </c>
      <c r="AV122" s="814" t="str" cm="1">
        <f t="array" ref="AV122">IF(OR(AT122="",AU122=""),"",INDEX(B$25:$B$49,AU122))</f>
        <v/>
      </c>
      <c r="AW122" s="1469" t="str" cm="1">
        <f t="array" ref="AW122">IF(OR(AT122="",AU122=""),"",IF(INDEX($H$25:H$49,AU122)=$AU$7,"",INDEX($D$25:D$49,AU122)))</f>
        <v/>
      </c>
      <c r="AX122" s="247" t="str" cm="1">
        <f t="array" ref="AX122">IF(AU122="","",IF(AND(AV122="c",AW122="s"),"",INDEX($AC$25:$AC$49,AU122)))</f>
        <v/>
      </c>
      <c r="AY122" s="247" t="str">
        <f t="shared" si="643"/>
        <v/>
      </c>
      <c r="AZ122" s="756" t="str">
        <f t="shared" si="639"/>
        <v/>
      </c>
      <c r="BA122" s="247" t="str">
        <f t="shared" si="644"/>
        <v/>
      </c>
      <c r="BB122" s="817" t="str">
        <f t="shared" si="647"/>
        <v/>
      </c>
      <c r="BC122" s="247" t="str">
        <f t="shared" si="645"/>
        <v/>
      </c>
      <c r="BD122" s="1327" t="str">
        <f t="shared" si="640"/>
        <v/>
      </c>
      <c r="BE122" s="1461" t="str">
        <f t="shared" si="646"/>
        <v/>
      </c>
      <c r="BF122" s="1463" t="str">
        <f t="shared" si="641"/>
        <v/>
      </c>
      <c r="BG122" s="1">
        <v>8</v>
      </c>
      <c r="BH122" s="756" t="str">
        <f>IF(OR($AT$116="",$BB$80=""),"",IF(LOOKUP($BB$80,$DN$54:$DN$78,EA$54:EA$78)="S1","",LOOKUP($BB$80,$DN$54:$DN$78,EA$54:EA$78)))</f>
        <v/>
      </c>
      <c r="BI122" s="756" t="str">
        <f t="shared" si="619"/>
        <v/>
      </c>
      <c r="BK122" s="1488">
        <f t="shared" si="620"/>
        <v>1</v>
      </c>
      <c r="BL122" s="827">
        <f t="shared" si="601"/>
        <v>0</v>
      </c>
      <c r="BM122" s="216">
        <f t="shared" si="621"/>
        <v>0</v>
      </c>
      <c r="BN122" s="216">
        <f t="shared" si="602"/>
        <v>0</v>
      </c>
      <c r="BO122" s="216">
        <f t="shared" si="603"/>
        <v>0</v>
      </c>
      <c r="BP122" s="216">
        <f t="shared" si="604"/>
        <v>0</v>
      </c>
      <c r="BQ122" s="216">
        <f t="shared" si="605"/>
        <v>0</v>
      </c>
      <c r="BR122" s="216">
        <f t="shared" si="606"/>
        <v>0</v>
      </c>
      <c r="BS122" s="216">
        <f t="shared" si="607"/>
        <v>0</v>
      </c>
      <c r="BT122" s="216">
        <f t="shared" si="608"/>
        <v>0</v>
      </c>
      <c r="BU122" s="827">
        <f t="shared" si="622"/>
        <v>0</v>
      </c>
      <c r="BV122" s="828">
        <f t="shared" si="609"/>
        <v>0</v>
      </c>
      <c r="BW122" s="828">
        <f t="shared" si="610"/>
        <v>0</v>
      </c>
      <c r="BX122" s="1">
        <f t="shared" si="611"/>
        <v>0</v>
      </c>
      <c r="BY122" s="1">
        <f t="shared" si="623"/>
        <v>0</v>
      </c>
      <c r="BZ122" s="827">
        <f t="shared" si="624"/>
        <v>0</v>
      </c>
      <c r="CA122" s="1">
        <f t="shared" si="612"/>
        <v>0</v>
      </c>
      <c r="CB122" s="1">
        <f t="shared" si="625"/>
        <v>0</v>
      </c>
      <c r="CC122" s="827">
        <f t="shared" si="626"/>
        <v>0</v>
      </c>
      <c r="CD122" s="1">
        <f t="shared" si="613"/>
        <v>0</v>
      </c>
      <c r="CE122" s="1">
        <f t="shared" si="627"/>
        <v>0</v>
      </c>
      <c r="CF122" s="827">
        <f t="shared" si="628"/>
        <v>0</v>
      </c>
      <c r="CG122" s="1">
        <f t="shared" si="614"/>
        <v>0</v>
      </c>
      <c r="CH122" s="1">
        <f t="shared" si="629"/>
        <v>0</v>
      </c>
      <c r="CI122" s="827">
        <f t="shared" si="630"/>
        <v>0</v>
      </c>
      <c r="CJ122" s="1">
        <f t="shared" si="615"/>
        <v>0</v>
      </c>
      <c r="CK122" s="1">
        <f t="shared" si="631"/>
        <v>0</v>
      </c>
      <c r="CL122" s="827">
        <f t="shared" si="632"/>
        <v>0</v>
      </c>
      <c r="CM122" s="1">
        <f t="shared" si="616"/>
        <v>0</v>
      </c>
      <c r="CN122" s="1">
        <f t="shared" si="633"/>
        <v>0</v>
      </c>
      <c r="CO122" s="827">
        <f t="shared" si="634"/>
        <v>0</v>
      </c>
      <c r="CP122" s="1">
        <f t="shared" si="617"/>
        <v>0</v>
      </c>
      <c r="CQ122" s="1">
        <f t="shared" si="635"/>
        <v>0</v>
      </c>
      <c r="CR122" s="827">
        <f t="shared" si="636"/>
        <v>0</v>
      </c>
      <c r="CS122" s="1">
        <f t="shared" si="618"/>
        <v>0</v>
      </c>
      <c r="CT122" s="1">
        <f t="shared" si="637"/>
        <v>0</v>
      </c>
      <c r="CU122" s="827">
        <f t="shared" si="638"/>
        <v>0</v>
      </c>
      <c r="EA122" s="33"/>
      <c r="EB122" s="453" t="str">
        <f t="shared" si="538"/>
        <v/>
      </c>
      <c r="EC122" s="453" t="str">
        <f t="shared" si="539"/>
        <v/>
      </c>
      <c r="ED122" s="454" t="str">
        <f t="shared" si="541"/>
        <v/>
      </c>
      <c r="EE122" s="469"/>
      <c r="EF122" s="456"/>
      <c r="EG122" s="454" t="str">
        <f>IF($ED121="","",IF(AND($EH122&lt;&gt;"",$EH122&gt;$ED121),$EH122,IF(AND($EH123&lt;&gt;"",$EH123&gt;$ED121),$EH123,IF(AND($EH124&lt;&gt;"",$EH124&gt;$ED121),$EH124,IF(AND($EH125&lt;&gt;"",$EH125&gt;$ED121),$EH125,"")))))</f>
        <v/>
      </c>
      <c r="EH122" s="454" t="str">
        <f t="shared" si="540"/>
        <v/>
      </c>
      <c r="EI122" s="760" t="s">
        <v>22</v>
      </c>
      <c r="EJ122" s="759">
        <v>6</v>
      </c>
      <c r="EK122" s="761">
        <f>SUMIF($EM$112:$EM$136,155.1,$EN$112:$EN$136)</f>
        <v>0</v>
      </c>
      <c r="EL122" s="522" t="str">
        <f t="shared" si="543"/>
        <v/>
      </c>
      <c r="EM122" s="17">
        <f t="shared" si="544"/>
        <v>0</v>
      </c>
      <c r="EN122" s="665">
        <f t="shared" si="576"/>
        <v>0</v>
      </c>
      <c r="EO122" s="665">
        <f t="shared" si="545"/>
        <v>0</v>
      </c>
      <c r="EP122" s="458">
        <f t="shared" si="546"/>
        <v>1</v>
      </c>
      <c r="EQ122" s="33"/>
      <c r="ER122" s="33"/>
      <c r="ES122" s="33"/>
      <c r="ET122" s="33"/>
      <c r="EU122" s="33"/>
      <c r="EV122" s="33"/>
      <c r="EW122" s="33"/>
      <c r="EX122" s="33"/>
      <c r="EY122" s="33">
        <v>11</v>
      </c>
      <c r="FD122" s="276" t="str">
        <f t="shared" si="547"/>
        <v/>
      </c>
      <c r="FE122" s="18">
        <f t="shared" si="548"/>
        <v>0</v>
      </c>
      <c r="FF122" s="275" t="str">
        <f t="shared" si="549"/>
        <v/>
      </c>
      <c r="FG122" s="145" t="str">
        <f t="shared" si="550"/>
        <v/>
      </c>
      <c r="FH122" s="19">
        <f t="shared" si="551"/>
        <v>0</v>
      </c>
      <c r="FI122" s="718"/>
      <c r="FJ122" s="701" t="str">
        <f t="shared" si="577"/>
        <v/>
      </c>
      <c r="FK122" s="66">
        <f t="shared" si="552"/>
        <v>0</v>
      </c>
      <c r="FL122" s="717"/>
      <c r="FM122" s="716"/>
      <c r="FN122" s="701" t="str">
        <f t="shared" si="578"/>
        <v/>
      </c>
      <c r="FO122" s="66">
        <f t="shared" si="553"/>
        <v>0</v>
      </c>
      <c r="FP122" s="717"/>
      <c r="FQ122" s="716"/>
      <c r="FR122" s="701" t="str">
        <f t="shared" si="579"/>
        <v/>
      </c>
      <c r="FS122" s="66">
        <f t="shared" si="554"/>
        <v>0</v>
      </c>
      <c r="FT122" s="717"/>
      <c r="FU122" s="716"/>
      <c r="FV122" s="701" t="str">
        <f t="shared" si="580"/>
        <v/>
      </c>
      <c r="FW122" s="66">
        <f t="shared" si="555"/>
        <v>0</v>
      </c>
      <c r="FX122" s="717"/>
      <c r="FY122" s="716"/>
      <c r="FZ122" s="701" t="str">
        <f t="shared" si="581"/>
        <v/>
      </c>
      <c r="GA122" s="66">
        <f t="shared" si="556"/>
        <v>0</v>
      </c>
      <c r="GB122" s="717"/>
      <c r="GC122" s="716"/>
      <c r="GD122" s="701" t="str">
        <f t="shared" si="582"/>
        <v/>
      </c>
      <c r="GE122" s="66">
        <f t="shared" si="557"/>
        <v>0</v>
      </c>
      <c r="GF122" s="717"/>
      <c r="GG122" s="716"/>
      <c r="GH122" s="701" t="str">
        <f t="shared" si="583"/>
        <v/>
      </c>
      <c r="GI122" s="66">
        <f t="shared" si="558"/>
        <v>0</v>
      </c>
      <c r="GJ122" s="717"/>
      <c r="GK122" s="716"/>
      <c r="GL122" s="701" t="str">
        <f t="shared" si="584"/>
        <v/>
      </c>
      <c r="GM122" s="66">
        <f t="shared" si="559"/>
        <v>0</v>
      </c>
      <c r="GN122" s="717"/>
      <c r="GO122" s="716"/>
      <c r="GP122" s="701" t="str">
        <f t="shared" si="585"/>
        <v/>
      </c>
      <c r="GQ122" s="66">
        <f t="shared" si="560"/>
        <v>0</v>
      </c>
      <c r="GR122" s="717"/>
      <c r="GS122" s="716"/>
      <c r="GT122" s="701" t="str">
        <f t="shared" si="586"/>
        <v/>
      </c>
      <c r="GU122" s="66">
        <f t="shared" si="561"/>
        <v>0</v>
      </c>
      <c r="GV122" s="717"/>
      <c r="GW122" s="716"/>
      <c r="GX122" s="701" t="str">
        <f t="shared" si="587"/>
        <v/>
      </c>
      <c r="GY122" s="66">
        <f t="shared" si="562"/>
        <v>0</v>
      </c>
      <c r="GZ122" s="717"/>
      <c r="HA122" s="716"/>
      <c r="HB122" s="701" t="str">
        <f t="shared" si="588"/>
        <v/>
      </c>
      <c r="HC122" s="66">
        <f t="shared" si="563"/>
        <v>0</v>
      </c>
      <c r="HD122" s="717"/>
      <c r="HE122" s="716"/>
      <c r="HF122" s="701" t="str">
        <f t="shared" si="589"/>
        <v/>
      </c>
      <c r="HG122" s="66">
        <f t="shared" si="564"/>
        <v>0</v>
      </c>
      <c r="HH122" s="717"/>
      <c r="HI122" s="716"/>
      <c r="HJ122" s="701" t="str">
        <f t="shared" si="590"/>
        <v/>
      </c>
      <c r="HK122" s="66">
        <f t="shared" si="565"/>
        <v>0</v>
      </c>
      <c r="HL122" s="717"/>
      <c r="HM122" s="716"/>
      <c r="HN122" s="701" t="str">
        <f t="shared" si="591"/>
        <v/>
      </c>
      <c r="HO122" s="66">
        <f t="shared" si="566"/>
        <v>0</v>
      </c>
      <c r="HP122" s="717"/>
      <c r="HQ122" s="716"/>
      <c r="HR122" s="701" t="str">
        <f t="shared" si="592"/>
        <v/>
      </c>
      <c r="HS122" s="66">
        <f t="shared" si="567"/>
        <v>0</v>
      </c>
      <c r="HT122" s="717"/>
      <c r="HU122" s="716"/>
      <c r="HV122" s="701" t="str">
        <f t="shared" si="593"/>
        <v/>
      </c>
      <c r="HW122" s="66">
        <f t="shared" si="568"/>
        <v>0</v>
      </c>
      <c r="HX122" s="717"/>
      <c r="HY122" s="716"/>
      <c r="HZ122" s="701" t="str">
        <f t="shared" si="594"/>
        <v/>
      </c>
      <c r="IA122" s="66">
        <f t="shared" si="569"/>
        <v>0</v>
      </c>
      <c r="IB122" s="717"/>
      <c r="IC122" s="716"/>
      <c r="ID122" s="701" t="str">
        <f t="shared" si="595"/>
        <v/>
      </c>
      <c r="IE122" s="66">
        <f t="shared" si="570"/>
        <v>0</v>
      </c>
      <c r="IF122" s="717"/>
      <c r="IG122" s="716"/>
      <c r="IH122" s="701" t="str">
        <f t="shared" si="596"/>
        <v/>
      </c>
      <c r="II122" s="66">
        <f t="shared" si="571"/>
        <v>0</v>
      </c>
      <c r="IJ122" s="717"/>
      <c r="IK122" s="716"/>
      <c r="IL122" s="701" t="str">
        <f t="shared" si="597"/>
        <v/>
      </c>
      <c r="IM122" s="66">
        <f t="shared" si="572"/>
        <v>0</v>
      </c>
      <c r="IN122" s="717"/>
      <c r="IO122" s="716"/>
      <c r="IP122" s="701" t="str">
        <f t="shared" si="598"/>
        <v/>
      </c>
      <c r="IQ122" s="66">
        <f t="shared" si="573"/>
        <v>0</v>
      </c>
      <c r="IR122" s="717"/>
      <c r="IS122" s="716"/>
      <c r="IT122" s="701" t="str">
        <f t="shared" si="599"/>
        <v/>
      </c>
      <c r="IU122" s="66">
        <f t="shared" si="574"/>
        <v>0</v>
      </c>
      <c r="IV122" s="717"/>
      <c r="IW122" s="716"/>
      <c r="IX122" s="701" t="str">
        <f t="shared" si="600"/>
        <v/>
      </c>
      <c r="IY122" s="66">
        <f t="shared" si="575"/>
        <v>0</v>
      </c>
    </row>
    <row r="123" spans="44:259" ht="13.3" thickTop="1" thickBot="1" x14ac:dyDescent="0.35">
      <c r="AT123" s="756" t="str">
        <f>IF(OR(AT116="",$BB$79=""),"",IF(LOOKUP($BB$79,$DN$54:$DN$78,DZ$54:DZ$78)="S1","",LOOKUP($BB$79,$DN$54:$DN$78,DZ$54:DZ$78)))</f>
        <v/>
      </c>
      <c r="AU123" s="216" t="str">
        <f t="shared" si="642"/>
        <v/>
      </c>
      <c r="AV123" s="814" t="str" cm="1">
        <f t="array" ref="AV123">IF(OR(AT123="",AU123=""),"",INDEX(B$25:$B$49,AU123))</f>
        <v/>
      </c>
      <c r="AW123" s="1469" t="str" cm="1">
        <f t="array" ref="AW123">IF(OR(AT123="",AU123=""),"",IF(INDEX($H$25:H$49,AU123)=$AU$7,"",INDEX($D$25:D$49,AU123)))</f>
        <v/>
      </c>
      <c r="AX123" s="247" t="str" cm="1">
        <f t="array" ref="AX123">IF(AU123="","",IF(AND(AV123="c",AW123="s"),"",INDEX($AC$25:$AC$49,AU123)))</f>
        <v/>
      </c>
      <c r="AY123" s="247" t="str">
        <f t="shared" si="643"/>
        <v/>
      </c>
      <c r="AZ123" s="756" t="str">
        <f t="shared" si="639"/>
        <v/>
      </c>
      <c r="BA123" s="247" t="str">
        <f t="shared" si="644"/>
        <v/>
      </c>
      <c r="BB123" s="817" t="str">
        <f t="shared" si="647"/>
        <v/>
      </c>
      <c r="BC123" s="247" t="str">
        <f t="shared" si="645"/>
        <v/>
      </c>
      <c r="BD123" s="1327" t="str">
        <f t="shared" si="640"/>
        <v/>
      </c>
      <c r="BE123" s="1461" t="str">
        <f t="shared" si="646"/>
        <v/>
      </c>
      <c r="BF123" s="1463" t="str">
        <f t="shared" si="641"/>
        <v/>
      </c>
      <c r="BK123" s="1488">
        <f t="shared" si="620"/>
        <v>1</v>
      </c>
      <c r="BL123" s="827">
        <f t="shared" si="601"/>
        <v>0</v>
      </c>
      <c r="BM123" s="216">
        <f t="shared" si="621"/>
        <v>0</v>
      </c>
      <c r="BN123" s="216">
        <f t="shared" si="602"/>
        <v>0</v>
      </c>
      <c r="BO123" s="216">
        <f t="shared" si="603"/>
        <v>0</v>
      </c>
      <c r="BP123" s="216">
        <f t="shared" si="604"/>
        <v>0</v>
      </c>
      <c r="BQ123" s="216">
        <f t="shared" si="605"/>
        <v>0</v>
      </c>
      <c r="BR123" s="216">
        <f t="shared" si="606"/>
        <v>0</v>
      </c>
      <c r="BS123" s="216">
        <f t="shared" si="607"/>
        <v>0</v>
      </c>
      <c r="BT123" s="216">
        <f t="shared" si="608"/>
        <v>0</v>
      </c>
      <c r="BU123" s="827">
        <f t="shared" si="622"/>
        <v>0</v>
      </c>
      <c r="BV123" s="828">
        <f t="shared" si="609"/>
        <v>0</v>
      </c>
      <c r="BW123" s="828">
        <f t="shared" si="610"/>
        <v>0</v>
      </c>
      <c r="BX123" s="1">
        <f t="shared" si="611"/>
        <v>0</v>
      </c>
      <c r="BY123" s="1">
        <f t="shared" si="623"/>
        <v>0</v>
      </c>
      <c r="BZ123" s="827">
        <f t="shared" si="624"/>
        <v>0</v>
      </c>
      <c r="CA123" s="1">
        <f t="shared" si="612"/>
        <v>0</v>
      </c>
      <c r="CB123" s="1">
        <f t="shared" si="625"/>
        <v>0</v>
      </c>
      <c r="CC123" s="827">
        <f t="shared" si="626"/>
        <v>0</v>
      </c>
      <c r="CD123" s="1">
        <f t="shared" si="613"/>
        <v>0</v>
      </c>
      <c r="CE123" s="1">
        <f t="shared" si="627"/>
        <v>0</v>
      </c>
      <c r="CF123" s="827">
        <f t="shared" si="628"/>
        <v>0</v>
      </c>
      <c r="CG123" s="1">
        <f t="shared" si="614"/>
        <v>0</v>
      </c>
      <c r="CH123" s="1">
        <f t="shared" si="629"/>
        <v>0</v>
      </c>
      <c r="CI123" s="827">
        <f t="shared" si="630"/>
        <v>0</v>
      </c>
      <c r="CJ123" s="1">
        <f t="shared" si="615"/>
        <v>0</v>
      </c>
      <c r="CK123" s="1">
        <f t="shared" si="631"/>
        <v>0</v>
      </c>
      <c r="CL123" s="827">
        <f t="shared" si="632"/>
        <v>0</v>
      </c>
      <c r="CM123" s="1">
        <f t="shared" si="616"/>
        <v>0</v>
      </c>
      <c r="CN123" s="1">
        <f t="shared" si="633"/>
        <v>0</v>
      </c>
      <c r="CO123" s="827">
        <f t="shared" si="634"/>
        <v>0</v>
      </c>
      <c r="CP123" s="1">
        <f t="shared" si="617"/>
        <v>0</v>
      </c>
      <c r="CQ123" s="1">
        <f t="shared" si="635"/>
        <v>0</v>
      </c>
      <c r="CR123" s="827">
        <f t="shared" si="636"/>
        <v>0</v>
      </c>
      <c r="CS123" s="1">
        <f t="shared" si="618"/>
        <v>0</v>
      </c>
      <c r="CT123" s="1">
        <f t="shared" si="637"/>
        <v>0</v>
      </c>
      <c r="CU123" s="827">
        <f t="shared" si="638"/>
        <v>0</v>
      </c>
      <c r="EA123" s="33"/>
      <c r="EB123" s="453" t="str">
        <f t="shared" si="538"/>
        <v/>
      </c>
      <c r="EC123" s="453" t="str">
        <f t="shared" si="539"/>
        <v/>
      </c>
      <c r="ED123" s="454" t="str">
        <f t="shared" si="541"/>
        <v/>
      </c>
      <c r="EE123" s="469"/>
      <c r="EF123" s="456"/>
      <c r="EG123" s="454" t="str">
        <f>IF($ED122="","",IF(AND($EH123&lt;&gt;"",$EH123&gt;$ED122),$EH123,IF(AND($EH124&lt;&gt;"",$EH124&gt;$ED122),$EH124,IF(AND($EH125&lt;&gt;"",$EH125&gt;$ED122),$EH125,""))))</f>
        <v/>
      </c>
      <c r="EH123" s="454" t="str">
        <f t="shared" si="540"/>
        <v/>
      </c>
      <c r="EI123" s="760" t="s">
        <v>310</v>
      </c>
      <c r="EJ123" s="759">
        <v>8</v>
      </c>
      <c r="EK123" s="761">
        <f>SUMIF($EM$112:$EM$136,206.5,$EN$112:$EN$136)</f>
        <v>0</v>
      </c>
      <c r="EL123" s="522" t="str">
        <f t="shared" si="543"/>
        <v/>
      </c>
      <c r="EM123" s="17">
        <f t="shared" si="544"/>
        <v>0</v>
      </c>
      <c r="EN123" s="665">
        <f t="shared" si="576"/>
        <v>0</v>
      </c>
      <c r="EO123" s="665">
        <f t="shared" si="545"/>
        <v>0</v>
      </c>
      <c r="EP123" s="458">
        <f t="shared" si="546"/>
        <v>1</v>
      </c>
      <c r="EQ123" s="33"/>
      <c r="ER123" s="33"/>
      <c r="ES123" s="33"/>
      <c r="ET123" s="33"/>
      <c r="EU123" s="33"/>
      <c r="EV123" s="33"/>
      <c r="EW123" s="33"/>
      <c r="EX123" s="33"/>
      <c r="EY123" s="33">
        <v>12</v>
      </c>
      <c r="FD123" s="276" t="str">
        <f t="shared" si="547"/>
        <v/>
      </c>
      <c r="FE123" s="18">
        <f t="shared" si="548"/>
        <v>0</v>
      </c>
      <c r="FF123" s="275" t="str">
        <f t="shared" si="549"/>
        <v/>
      </c>
      <c r="FG123" s="145" t="str">
        <f t="shared" si="550"/>
        <v/>
      </c>
      <c r="FH123" s="19">
        <f t="shared" si="551"/>
        <v>0</v>
      </c>
      <c r="FI123" s="718"/>
      <c r="FJ123" s="701" t="str">
        <f t="shared" si="577"/>
        <v/>
      </c>
      <c r="FK123" s="66">
        <f t="shared" si="552"/>
        <v>0</v>
      </c>
      <c r="FL123" s="717"/>
      <c r="FM123" s="716"/>
      <c r="FN123" s="701" t="str">
        <f t="shared" si="578"/>
        <v/>
      </c>
      <c r="FO123" s="66">
        <f t="shared" si="553"/>
        <v>0</v>
      </c>
      <c r="FP123" s="717"/>
      <c r="FQ123" s="716"/>
      <c r="FR123" s="701" t="str">
        <f t="shared" si="579"/>
        <v/>
      </c>
      <c r="FS123" s="66">
        <f t="shared" si="554"/>
        <v>0</v>
      </c>
      <c r="FT123" s="717"/>
      <c r="FU123" s="716"/>
      <c r="FV123" s="701" t="str">
        <f t="shared" si="580"/>
        <v/>
      </c>
      <c r="FW123" s="66">
        <f t="shared" si="555"/>
        <v>0</v>
      </c>
      <c r="FX123" s="717"/>
      <c r="FY123" s="716"/>
      <c r="FZ123" s="701" t="str">
        <f t="shared" si="581"/>
        <v/>
      </c>
      <c r="GA123" s="66">
        <f t="shared" si="556"/>
        <v>0</v>
      </c>
      <c r="GB123" s="717"/>
      <c r="GC123" s="716"/>
      <c r="GD123" s="701" t="str">
        <f t="shared" si="582"/>
        <v/>
      </c>
      <c r="GE123" s="66">
        <f t="shared" si="557"/>
        <v>0</v>
      </c>
      <c r="GF123" s="717"/>
      <c r="GG123" s="716"/>
      <c r="GH123" s="701" t="str">
        <f t="shared" si="583"/>
        <v/>
      </c>
      <c r="GI123" s="66">
        <f t="shared" si="558"/>
        <v>0</v>
      </c>
      <c r="GJ123" s="717"/>
      <c r="GK123" s="716"/>
      <c r="GL123" s="701" t="str">
        <f t="shared" si="584"/>
        <v/>
      </c>
      <c r="GM123" s="66">
        <f t="shared" si="559"/>
        <v>0</v>
      </c>
      <c r="GN123" s="717"/>
      <c r="GO123" s="716"/>
      <c r="GP123" s="701" t="str">
        <f t="shared" si="585"/>
        <v/>
      </c>
      <c r="GQ123" s="66">
        <f t="shared" si="560"/>
        <v>0</v>
      </c>
      <c r="GR123" s="717"/>
      <c r="GS123" s="716"/>
      <c r="GT123" s="701" t="str">
        <f t="shared" si="586"/>
        <v/>
      </c>
      <c r="GU123" s="66">
        <f t="shared" si="561"/>
        <v>0</v>
      </c>
      <c r="GV123" s="717"/>
      <c r="GW123" s="716"/>
      <c r="GX123" s="701" t="str">
        <f t="shared" si="587"/>
        <v/>
      </c>
      <c r="GY123" s="66">
        <f t="shared" si="562"/>
        <v>0</v>
      </c>
      <c r="GZ123" s="717"/>
      <c r="HA123" s="716"/>
      <c r="HB123" s="701" t="str">
        <f t="shared" si="588"/>
        <v/>
      </c>
      <c r="HC123" s="66">
        <f t="shared" si="563"/>
        <v>0</v>
      </c>
      <c r="HD123" s="717"/>
      <c r="HE123" s="716"/>
      <c r="HF123" s="701" t="str">
        <f t="shared" si="589"/>
        <v/>
      </c>
      <c r="HG123" s="66">
        <f t="shared" si="564"/>
        <v>0</v>
      </c>
      <c r="HH123" s="717"/>
      <c r="HI123" s="716"/>
      <c r="HJ123" s="701" t="str">
        <f t="shared" si="590"/>
        <v/>
      </c>
      <c r="HK123" s="66">
        <f t="shared" si="565"/>
        <v>0</v>
      </c>
      <c r="HL123" s="717"/>
      <c r="HM123" s="716"/>
      <c r="HN123" s="701" t="str">
        <f t="shared" si="591"/>
        <v/>
      </c>
      <c r="HO123" s="66">
        <f t="shared" si="566"/>
        <v>0</v>
      </c>
      <c r="HP123" s="717"/>
      <c r="HQ123" s="716"/>
      <c r="HR123" s="701" t="str">
        <f t="shared" si="592"/>
        <v/>
      </c>
      <c r="HS123" s="66">
        <f t="shared" si="567"/>
        <v>0</v>
      </c>
      <c r="HT123" s="717"/>
      <c r="HU123" s="716"/>
      <c r="HV123" s="701" t="str">
        <f t="shared" si="593"/>
        <v/>
      </c>
      <c r="HW123" s="66">
        <f t="shared" si="568"/>
        <v>0</v>
      </c>
      <c r="HX123" s="717"/>
      <c r="HY123" s="716"/>
      <c r="HZ123" s="701" t="str">
        <f t="shared" si="594"/>
        <v/>
      </c>
      <c r="IA123" s="66">
        <f t="shared" si="569"/>
        <v>0</v>
      </c>
      <c r="IB123" s="717"/>
      <c r="IC123" s="716"/>
      <c r="ID123" s="701" t="str">
        <f t="shared" si="595"/>
        <v/>
      </c>
      <c r="IE123" s="66">
        <f t="shared" si="570"/>
        <v>0</v>
      </c>
      <c r="IF123" s="717"/>
      <c r="IG123" s="716"/>
      <c r="IH123" s="701" t="str">
        <f t="shared" si="596"/>
        <v/>
      </c>
      <c r="II123" s="66">
        <f t="shared" si="571"/>
        <v>0</v>
      </c>
      <c r="IJ123" s="717"/>
      <c r="IK123" s="716"/>
      <c r="IL123" s="701" t="str">
        <f t="shared" si="597"/>
        <v/>
      </c>
      <c r="IM123" s="66">
        <f t="shared" si="572"/>
        <v>0</v>
      </c>
      <c r="IN123" s="717"/>
      <c r="IO123" s="716"/>
      <c r="IP123" s="701" t="str">
        <f t="shared" si="598"/>
        <v/>
      </c>
      <c r="IQ123" s="66">
        <f t="shared" si="573"/>
        <v>0</v>
      </c>
      <c r="IR123" s="717"/>
      <c r="IS123" s="716"/>
      <c r="IT123" s="701" t="str">
        <f t="shared" si="599"/>
        <v/>
      </c>
      <c r="IU123" s="66">
        <f t="shared" si="574"/>
        <v>0</v>
      </c>
      <c r="IV123" s="717"/>
      <c r="IW123" s="716"/>
      <c r="IX123" s="701" t="str">
        <f t="shared" si="600"/>
        <v/>
      </c>
      <c r="IY123" s="66">
        <f t="shared" si="575"/>
        <v>0</v>
      </c>
    </row>
    <row r="124" spans="44:259" ht="13.3" thickTop="1" thickBot="1" x14ac:dyDescent="0.35">
      <c r="AT124" s="756" t="str">
        <f>IF(OR(AT116="",$BB$79=""),"",IF(LOOKUP($BB$79,$DN$54:$DN$78,EA$54:EA$78)="S1","",LOOKUP($BB$79,$DN$54:$DN$78,EA$54:EA$78)))</f>
        <v/>
      </c>
      <c r="AU124" s="216" t="str">
        <f t="shared" si="642"/>
        <v/>
      </c>
      <c r="AV124" s="814" t="str" cm="1">
        <f t="array" ref="AV124">IF(OR(AT124="",AU124=""),"",INDEX(B$25:$B$49,AU124))</f>
        <v/>
      </c>
      <c r="AW124" s="1469" t="str" cm="1">
        <f t="array" ref="AW124">IF(OR(AT124="",AU124=""),"",IF(INDEX($H$25:H$49,AU124)=$AU$7,"",INDEX($D$25:D$49,AU124)))</f>
        <v/>
      </c>
      <c r="AX124" s="247" t="str" cm="1">
        <f t="array" ref="AX124">IF(AU124="","",IF(AND(AV124="c",AW124="s"),"",INDEX($AC$25:$AC$49,AU124)))</f>
        <v/>
      </c>
      <c r="AY124" s="247" t="str">
        <f t="shared" si="643"/>
        <v/>
      </c>
      <c r="AZ124" s="756" t="str">
        <f t="shared" si="639"/>
        <v/>
      </c>
      <c r="BA124" s="247" t="str">
        <f t="shared" si="644"/>
        <v/>
      </c>
      <c r="BB124" s="817" t="str">
        <f t="shared" si="647"/>
        <v/>
      </c>
      <c r="BC124" s="247" t="str">
        <f>IFERROR(IF(BB124="","",LARGE($BA$116:$BA$124,AZ124)),"")</f>
        <v/>
      </c>
      <c r="BD124" s="1327" t="str">
        <f t="shared" si="640"/>
        <v/>
      </c>
      <c r="BE124" s="1461" t="str">
        <f t="shared" si="646"/>
        <v/>
      </c>
      <c r="BF124" s="1463" t="str">
        <f t="shared" si="641"/>
        <v/>
      </c>
      <c r="BK124" s="1488">
        <f t="shared" si="620"/>
        <v>1</v>
      </c>
      <c r="BL124" s="827">
        <f t="shared" si="601"/>
        <v>0</v>
      </c>
      <c r="BM124" s="216">
        <f t="shared" si="621"/>
        <v>0</v>
      </c>
      <c r="BN124" s="216">
        <f t="shared" si="602"/>
        <v>0</v>
      </c>
      <c r="BO124" s="216">
        <f t="shared" si="603"/>
        <v>0</v>
      </c>
      <c r="BP124" s="216">
        <f t="shared" si="604"/>
        <v>0</v>
      </c>
      <c r="BQ124" s="216">
        <f t="shared" si="605"/>
        <v>0</v>
      </c>
      <c r="BR124" s="216">
        <f t="shared" si="606"/>
        <v>0</v>
      </c>
      <c r="BS124" s="216">
        <f t="shared" si="607"/>
        <v>0</v>
      </c>
      <c r="BT124" s="216">
        <f t="shared" si="608"/>
        <v>0</v>
      </c>
      <c r="BU124" s="827">
        <f t="shared" si="622"/>
        <v>0</v>
      </c>
      <c r="BV124" s="828">
        <f t="shared" si="609"/>
        <v>0</v>
      </c>
      <c r="BW124" s="828">
        <f t="shared" si="610"/>
        <v>0</v>
      </c>
      <c r="BX124" s="1">
        <f t="shared" si="611"/>
        <v>0</v>
      </c>
      <c r="BY124" s="1">
        <f t="shared" si="623"/>
        <v>0</v>
      </c>
      <c r="BZ124" s="827">
        <f t="shared" si="624"/>
        <v>0</v>
      </c>
      <c r="CA124" s="1">
        <f t="shared" si="612"/>
        <v>0</v>
      </c>
      <c r="CB124" s="1">
        <f t="shared" si="625"/>
        <v>0</v>
      </c>
      <c r="CC124" s="827">
        <f t="shared" si="626"/>
        <v>0</v>
      </c>
      <c r="CD124" s="1">
        <f t="shared" si="613"/>
        <v>0</v>
      </c>
      <c r="CE124" s="1">
        <f t="shared" si="627"/>
        <v>0</v>
      </c>
      <c r="CF124" s="827">
        <f t="shared" si="628"/>
        <v>0</v>
      </c>
      <c r="CG124" s="1">
        <f t="shared" si="614"/>
        <v>0</v>
      </c>
      <c r="CH124" s="1">
        <f t="shared" si="629"/>
        <v>0</v>
      </c>
      <c r="CI124" s="827">
        <f t="shared" si="630"/>
        <v>0</v>
      </c>
      <c r="CJ124" s="1">
        <f t="shared" si="615"/>
        <v>0</v>
      </c>
      <c r="CK124" s="1">
        <f t="shared" si="631"/>
        <v>0</v>
      </c>
      <c r="CL124" s="827">
        <f t="shared" si="632"/>
        <v>0</v>
      </c>
      <c r="CM124" s="1">
        <f t="shared" si="616"/>
        <v>0</v>
      </c>
      <c r="CN124" s="1">
        <f t="shared" si="633"/>
        <v>0</v>
      </c>
      <c r="CO124" s="827">
        <f t="shared" si="634"/>
        <v>0</v>
      </c>
      <c r="CP124" s="1">
        <f t="shared" si="617"/>
        <v>0</v>
      </c>
      <c r="CQ124" s="1">
        <f t="shared" si="635"/>
        <v>0</v>
      </c>
      <c r="CR124" s="827">
        <f t="shared" si="636"/>
        <v>0</v>
      </c>
      <c r="CS124" s="1">
        <f t="shared" si="618"/>
        <v>0</v>
      </c>
      <c r="CT124" s="1">
        <f t="shared" si="637"/>
        <v>0</v>
      </c>
      <c r="CU124" s="827">
        <f t="shared" si="638"/>
        <v>0</v>
      </c>
      <c r="EA124" s="33"/>
      <c r="EB124" s="453" t="str">
        <f t="shared" si="538"/>
        <v/>
      </c>
      <c r="EC124" s="453" t="str">
        <f t="shared" si="539"/>
        <v/>
      </c>
      <c r="ED124" s="454" t="str">
        <f t="shared" si="541"/>
        <v/>
      </c>
      <c r="EE124" s="469"/>
      <c r="EF124" s="456"/>
      <c r="EG124" s="454" t="str">
        <f>IF($ED123="","",IF(AND($EH124&lt;&gt;"",$EH124&gt;$ED123),$EH124,IF(AND($EH125&lt;&gt;"",$EH125&gt;$ED123),$EH125,"")))</f>
        <v/>
      </c>
      <c r="EH124" s="454" t="str">
        <f t="shared" si="540"/>
        <v/>
      </c>
      <c r="EI124" s="760" t="s">
        <v>311</v>
      </c>
      <c r="EJ124" s="759">
        <v>10</v>
      </c>
      <c r="EK124" s="761">
        <f>SUMIF($EM$112:$EM$136,260.4,$EN$112:$EN$136)</f>
        <v>0</v>
      </c>
      <c r="EL124" s="522" t="str">
        <f t="shared" si="543"/>
        <v/>
      </c>
      <c r="EM124" s="17">
        <f t="shared" si="544"/>
        <v>0</v>
      </c>
      <c r="EN124" s="665">
        <f t="shared" si="576"/>
        <v>0</v>
      </c>
      <c r="EO124" s="665">
        <f t="shared" si="545"/>
        <v>0</v>
      </c>
      <c r="EP124" s="458">
        <f t="shared" si="546"/>
        <v>1</v>
      </c>
      <c r="EQ124" s="33"/>
      <c r="ER124" s="33"/>
      <c r="ES124" s="33"/>
      <c r="ET124" s="33"/>
      <c r="EU124" s="33"/>
      <c r="EV124" s="33"/>
      <c r="EW124" s="33"/>
      <c r="EX124" s="33"/>
      <c r="EY124" s="33">
        <v>13</v>
      </c>
      <c r="FD124" s="276" t="str">
        <f t="shared" si="547"/>
        <v/>
      </c>
      <c r="FE124" s="18">
        <f t="shared" si="548"/>
        <v>0</v>
      </c>
      <c r="FF124" s="275" t="str">
        <f t="shared" si="549"/>
        <v/>
      </c>
      <c r="FG124" s="145" t="str">
        <f t="shared" si="550"/>
        <v/>
      </c>
      <c r="FH124" s="19">
        <f t="shared" si="551"/>
        <v>0</v>
      </c>
      <c r="FI124" s="718"/>
      <c r="FJ124" s="701" t="str">
        <f t="shared" si="577"/>
        <v/>
      </c>
      <c r="FK124" s="66">
        <f t="shared" si="552"/>
        <v>0</v>
      </c>
      <c r="FL124" s="717"/>
      <c r="FM124" s="716"/>
      <c r="FN124" s="701" t="str">
        <f t="shared" si="578"/>
        <v/>
      </c>
      <c r="FO124" s="66">
        <f t="shared" si="553"/>
        <v>0</v>
      </c>
      <c r="FP124" s="717"/>
      <c r="FQ124" s="716"/>
      <c r="FR124" s="701" t="str">
        <f t="shared" si="579"/>
        <v/>
      </c>
      <c r="FS124" s="66">
        <f t="shared" si="554"/>
        <v>0</v>
      </c>
      <c r="FT124" s="717"/>
      <c r="FU124" s="716"/>
      <c r="FV124" s="701" t="str">
        <f t="shared" si="580"/>
        <v/>
      </c>
      <c r="FW124" s="66">
        <f t="shared" si="555"/>
        <v>0</v>
      </c>
      <c r="FX124" s="717"/>
      <c r="FY124" s="716"/>
      <c r="FZ124" s="701" t="str">
        <f t="shared" si="581"/>
        <v/>
      </c>
      <c r="GA124" s="66">
        <f t="shared" si="556"/>
        <v>0</v>
      </c>
      <c r="GB124" s="717"/>
      <c r="GC124" s="716"/>
      <c r="GD124" s="701" t="str">
        <f t="shared" si="582"/>
        <v/>
      </c>
      <c r="GE124" s="66">
        <f t="shared" si="557"/>
        <v>0</v>
      </c>
      <c r="GF124" s="717"/>
      <c r="GG124" s="716"/>
      <c r="GH124" s="701" t="str">
        <f t="shared" si="583"/>
        <v/>
      </c>
      <c r="GI124" s="66">
        <f t="shared" si="558"/>
        <v>0</v>
      </c>
      <c r="GJ124" s="717"/>
      <c r="GK124" s="716"/>
      <c r="GL124" s="701" t="str">
        <f t="shared" si="584"/>
        <v/>
      </c>
      <c r="GM124" s="66">
        <f t="shared" si="559"/>
        <v>0</v>
      </c>
      <c r="GN124" s="717"/>
      <c r="GO124" s="716"/>
      <c r="GP124" s="701" t="str">
        <f t="shared" si="585"/>
        <v/>
      </c>
      <c r="GQ124" s="66">
        <f t="shared" si="560"/>
        <v>0</v>
      </c>
      <c r="GR124" s="717"/>
      <c r="GS124" s="716"/>
      <c r="GT124" s="701" t="str">
        <f t="shared" si="586"/>
        <v/>
      </c>
      <c r="GU124" s="66">
        <f t="shared" si="561"/>
        <v>0</v>
      </c>
      <c r="GV124" s="717"/>
      <c r="GW124" s="716"/>
      <c r="GX124" s="701" t="str">
        <f t="shared" si="587"/>
        <v/>
      </c>
      <c r="GY124" s="66">
        <f t="shared" si="562"/>
        <v>0</v>
      </c>
      <c r="GZ124" s="717"/>
      <c r="HA124" s="716"/>
      <c r="HB124" s="701" t="str">
        <f t="shared" si="588"/>
        <v/>
      </c>
      <c r="HC124" s="66">
        <f t="shared" si="563"/>
        <v>0</v>
      </c>
      <c r="HD124" s="717"/>
      <c r="HE124" s="716"/>
      <c r="HF124" s="701" t="str">
        <f t="shared" si="589"/>
        <v/>
      </c>
      <c r="HG124" s="66">
        <f t="shared" si="564"/>
        <v>0</v>
      </c>
      <c r="HH124" s="717"/>
      <c r="HI124" s="716"/>
      <c r="HJ124" s="701" t="str">
        <f t="shared" si="590"/>
        <v/>
      </c>
      <c r="HK124" s="66">
        <f t="shared" si="565"/>
        <v>0</v>
      </c>
      <c r="HL124" s="717"/>
      <c r="HM124" s="716"/>
      <c r="HN124" s="701" t="str">
        <f t="shared" si="591"/>
        <v/>
      </c>
      <c r="HO124" s="66">
        <f t="shared" si="566"/>
        <v>0</v>
      </c>
      <c r="HP124" s="717"/>
      <c r="HQ124" s="716"/>
      <c r="HR124" s="701" t="str">
        <f t="shared" si="592"/>
        <v/>
      </c>
      <c r="HS124" s="66">
        <f t="shared" si="567"/>
        <v>0</v>
      </c>
      <c r="HT124" s="717"/>
      <c r="HU124" s="716"/>
      <c r="HV124" s="701" t="str">
        <f t="shared" si="593"/>
        <v/>
      </c>
      <c r="HW124" s="66">
        <f t="shared" si="568"/>
        <v>0</v>
      </c>
      <c r="HX124" s="717"/>
      <c r="HY124" s="716"/>
      <c r="HZ124" s="701" t="str">
        <f t="shared" si="594"/>
        <v/>
      </c>
      <c r="IA124" s="66">
        <f t="shared" si="569"/>
        <v>0</v>
      </c>
      <c r="IB124" s="717"/>
      <c r="IC124" s="716"/>
      <c r="ID124" s="701" t="str">
        <f t="shared" si="595"/>
        <v/>
      </c>
      <c r="IE124" s="66">
        <f t="shared" si="570"/>
        <v>0</v>
      </c>
      <c r="IF124" s="717"/>
      <c r="IG124" s="716"/>
      <c r="IH124" s="701" t="str">
        <f t="shared" si="596"/>
        <v/>
      </c>
      <c r="II124" s="66">
        <f t="shared" si="571"/>
        <v>0</v>
      </c>
      <c r="IJ124" s="717"/>
      <c r="IK124" s="716"/>
      <c r="IL124" s="701" t="str">
        <f t="shared" si="597"/>
        <v/>
      </c>
      <c r="IM124" s="66">
        <f t="shared" si="572"/>
        <v>0</v>
      </c>
      <c r="IN124" s="717"/>
      <c r="IO124" s="716"/>
      <c r="IP124" s="701" t="str">
        <f t="shared" si="598"/>
        <v/>
      </c>
      <c r="IQ124" s="66">
        <f t="shared" si="573"/>
        <v>0</v>
      </c>
      <c r="IR124" s="717"/>
      <c r="IS124" s="716"/>
      <c r="IT124" s="701" t="str">
        <f t="shared" si="599"/>
        <v/>
      </c>
      <c r="IU124" s="66">
        <f t="shared" si="574"/>
        <v>0</v>
      </c>
      <c r="IV124" s="717"/>
      <c r="IW124" s="716"/>
      <c r="IX124" s="701" t="str">
        <f t="shared" si="600"/>
        <v/>
      </c>
      <c r="IY124" s="66">
        <f t="shared" si="575"/>
        <v>0</v>
      </c>
    </row>
    <row r="125" spans="44:259" ht="13.3" thickTop="1" thickBot="1" x14ac:dyDescent="0.35">
      <c r="AR125" s="1"/>
      <c r="AS125" s="1"/>
      <c r="AY125" s="1326" t="str">
        <f>IF(BD126="","",IF(N23=MIN(AY116:AY124),"",N23))</f>
        <v/>
      </c>
      <c r="BD125" s="1464">
        <f>IF($AU$7=0,"",IF(OR($AU$6="",$AU$7=""),"",$AU$6/$AU$7))</f>
        <v>4</v>
      </c>
      <c r="BE125" s="1465" t="s">
        <v>963</v>
      </c>
      <c r="BF125" s="1460"/>
      <c r="BG125" s="1460"/>
      <c r="BH125" s="1460"/>
      <c r="BI125" s="1460"/>
      <c r="BK125" s="1488">
        <f t="shared" si="620"/>
        <v>1</v>
      </c>
      <c r="BL125" s="827">
        <f t="shared" si="601"/>
        <v>0</v>
      </c>
      <c r="BM125" s="216">
        <f t="shared" si="621"/>
        <v>0</v>
      </c>
      <c r="BN125" s="216">
        <f t="shared" si="602"/>
        <v>0</v>
      </c>
      <c r="BO125" s="216">
        <f t="shared" si="603"/>
        <v>0</v>
      </c>
      <c r="BP125" s="216">
        <f t="shared" si="604"/>
        <v>0</v>
      </c>
      <c r="BQ125" s="216">
        <f t="shared" si="605"/>
        <v>0</v>
      </c>
      <c r="BR125" s="216">
        <f t="shared" si="606"/>
        <v>0</v>
      </c>
      <c r="BS125" s="216">
        <f t="shared" si="607"/>
        <v>0</v>
      </c>
      <c r="BT125" s="216">
        <f t="shared" si="608"/>
        <v>0</v>
      </c>
      <c r="BU125" s="827">
        <f t="shared" si="622"/>
        <v>0</v>
      </c>
      <c r="BV125" s="828">
        <f t="shared" si="609"/>
        <v>0</v>
      </c>
      <c r="BW125" s="828">
        <f t="shared" si="610"/>
        <v>0</v>
      </c>
      <c r="BX125" s="1">
        <f t="shared" si="611"/>
        <v>0</v>
      </c>
      <c r="BY125" s="1">
        <f t="shared" si="623"/>
        <v>0</v>
      </c>
      <c r="BZ125" s="827">
        <f t="shared" si="624"/>
        <v>0</v>
      </c>
      <c r="CA125" s="1">
        <f t="shared" si="612"/>
        <v>0</v>
      </c>
      <c r="CB125" s="1">
        <f t="shared" si="625"/>
        <v>0</v>
      </c>
      <c r="CC125" s="827">
        <f t="shared" si="626"/>
        <v>0</v>
      </c>
      <c r="CD125" s="1">
        <f t="shared" si="613"/>
        <v>0</v>
      </c>
      <c r="CE125" s="1">
        <f t="shared" si="627"/>
        <v>0</v>
      </c>
      <c r="CF125" s="827">
        <f t="shared" si="628"/>
        <v>0</v>
      </c>
      <c r="CG125" s="1">
        <f t="shared" si="614"/>
        <v>0</v>
      </c>
      <c r="CH125" s="1">
        <f t="shared" si="629"/>
        <v>0</v>
      </c>
      <c r="CI125" s="827">
        <f t="shared" si="630"/>
        <v>0</v>
      </c>
      <c r="CJ125" s="1">
        <f t="shared" si="615"/>
        <v>0</v>
      </c>
      <c r="CK125" s="1">
        <f t="shared" si="631"/>
        <v>0</v>
      </c>
      <c r="CL125" s="827">
        <f t="shared" si="632"/>
        <v>0</v>
      </c>
      <c r="CM125" s="1">
        <f t="shared" si="616"/>
        <v>0</v>
      </c>
      <c r="CN125" s="1">
        <f t="shared" si="633"/>
        <v>0</v>
      </c>
      <c r="CO125" s="827">
        <f t="shared" si="634"/>
        <v>0</v>
      </c>
      <c r="CP125" s="1">
        <f t="shared" si="617"/>
        <v>0</v>
      </c>
      <c r="CQ125" s="1">
        <f t="shared" si="635"/>
        <v>0</v>
      </c>
      <c r="CR125" s="827">
        <f t="shared" si="636"/>
        <v>0</v>
      </c>
      <c r="CS125" s="1">
        <f t="shared" si="618"/>
        <v>0</v>
      </c>
      <c r="CT125" s="1">
        <f t="shared" si="637"/>
        <v>0</v>
      </c>
      <c r="CU125" s="827">
        <f t="shared" si="638"/>
        <v>0</v>
      </c>
      <c r="EA125" s="33"/>
      <c r="EB125" s="453" t="str">
        <f t="shared" si="538"/>
        <v/>
      </c>
      <c r="EC125" s="453" t="str">
        <f t="shared" si="539"/>
        <v/>
      </c>
      <c r="ED125" s="454" t="str">
        <f t="shared" si="541"/>
        <v/>
      </c>
      <c r="EE125" s="469"/>
      <c r="EF125" s="456"/>
      <c r="EG125" s="454" t="str">
        <f>IF($ED124="","",IF(AND($EH125&lt;&gt;"",$EH125&gt;$ED124),$EH125,""))</f>
        <v/>
      </c>
      <c r="EH125" s="454" t="str">
        <f t="shared" si="540"/>
        <v/>
      </c>
      <c r="EI125" s="760" t="s">
        <v>312</v>
      </c>
      <c r="EJ125" s="759">
        <v>12</v>
      </c>
      <c r="EK125" s="761">
        <f>SUMIF($EM$112:$EM$136,311.3,$EN$112:$EN$136)</f>
        <v>0</v>
      </c>
      <c r="EL125" s="522" t="str">
        <f t="shared" si="543"/>
        <v/>
      </c>
      <c r="EM125" s="17">
        <f t="shared" si="544"/>
        <v>0</v>
      </c>
      <c r="EN125" s="665">
        <f t="shared" si="576"/>
        <v>0</v>
      </c>
      <c r="EO125" s="665">
        <f t="shared" si="545"/>
        <v>0</v>
      </c>
      <c r="EP125" s="458">
        <f t="shared" si="546"/>
        <v>1</v>
      </c>
      <c r="EQ125" s="33"/>
      <c r="ER125" s="33"/>
      <c r="ES125" s="33"/>
      <c r="ET125" s="33"/>
      <c r="EU125" s="33"/>
      <c r="EV125" s="33"/>
      <c r="EW125" s="33"/>
      <c r="EX125" s="33"/>
      <c r="EY125" s="33">
        <v>14</v>
      </c>
      <c r="FD125" s="276" t="str">
        <f t="shared" si="547"/>
        <v/>
      </c>
      <c r="FE125" s="18">
        <f t="shared" si="548"/>
        <v>0</v>
      </c>
      <c r="FF125" s="275" t="str">
        <f t="shared" si="549"/>
        <v/>
      </c>
      <c r="FG125" s="145" t="str">
        <f t="shared" si="550"/>
        <v/>
      </c>
      <c r="FH125" s="19">
        <f t="shared" si="551"/>
        <v>0</v>
      </c>
      <c r="FI125" s="718"/>
      <c r="FJ125" s="701" t="str">
        <f t="shared" si="577"/>
        <v/>
      </c>
      <c r="FK125" s="66">
        <f t="shared" si="552"/>
        <v>0</v>
      </c>
      <c r="FL125" s="717"/>
      <c r="FM125" s="716"/>
      <c r="FN125" s="701" t="str">
        <f t="shared" si="578"/>
        <v/>
      </c>
      <c r="FO125" s="66">
        <f t="shared" si="553"/>
        <v>0</v>
      </c>
      <c r="FP125" s="717"/>
      <c r="FQ125" s="716"/>
      <c r="FR125" s="701" t="str">
        <f t="shared" si="579"/>
        <v/>
      </c>
      <c r="FS125" s="66">
        <f t="shared" si="554"/>
        <v>0</v>
      </c>
      <c r="FT125" s="717"/>
      <c r="FU125" s="716"/>
      <c r="FV125" s="701" t="str">
        <f t="shared" si="580"/>
        <v/>
      </c>
      <c r="FW125" s="66">
        <f t="shared" si="555"/>
        <v>0</v>
      </c>
      <c r="FX125" s="717"/>
      <c r="FY125" s="716"/>
      <c r="FZ125" s="701" t="str">
        <f t="shared" si="581"/>
        <v/>
      </c>
      <c r="GA125" s="66">
        <f t="shared" si="556"/>
        <v>0</v>
      </c>
      <c r="GB125" s="717"/>
      <c r="GC125" s="716"/>
      <c r="GD125" s="701" t="str">
        <f t="shared" si="582"/>
        <v/>
      </c>
      <c r="GE125" s="66">
        <f t="shared" si="557"/>
        <v>0</v>
      </c>
      <c r="GF125" s="717"/>
      <c r="GG125" s="716"/>
      <c r="GH125" s="701" t="str">
        <f t="shared" si="583"/>
        <v/>
      </c>
      <c r="GI125" s="66">
        <f t="shared" si="558"/>
        <v>0</v>
      </c>
      <c r="GJ125" s="717"/>
      <c r="GK125" s="716"/>
      <c r="GL125" s="701" t="str">
        <f t="shared" si="584"/>
        <v/>
      </c>
      <c r="GM125" s="66">
        <f t="shared" si="559"/>
        <v>0</v>
      </c>
      <c r="GN125" s="717"/>
      <c r="GO125" s="716"/>
      <c r="GP125" s="701" t="str">
        <f t="shared" si="585"/>
        <v/>
      </c>
      <c r="GQ125" s="66">
        <f t="shared" si="560"/>
        <v>0</v>
      </c>
      <c r="GR125" s="717"/>
      <c r="GS125" s="716"/>
      <c r="GT125" s="701" t="str">
        <f t="shared" si="586"/>
        <v/>
      </c>
      <c r="GU125" s="66">
        <f t="shared" si="561"/>
        <v>0</v>
      </c>
      <c r="GV125" s="717"/>
      <c r="GW125" s="716"/>
      <c r="GX125" s="701" t="str">
        <f t="shared" si="587"/>
        <v/>
      </c>
      <c r="GY125" s="66">
        <f t="shared" si="562"/>
        <v>0</v>
      </c>
      <c r="GZ125" s="717"/>
      <c r="HA125" s="716"/>
      <c r="HB125" s="701" t="str">
        <f t="shared" si="588"/>
        <v/>
      </c>
      <c r="HC125" s="66">
        <f t="shared" si="563"/>
        <v>0</v>
      </c>
      <c r="HD125" s="717"/>
      <c r="HE125" s="716"/>
      <c r="HF125" s="701" t="str">
        <f t="shared" si="589"/>
        <v/>
      </c>
      <c r="HG125" s="66">
        <f t="shared" si="564"/>
        <v>0</v>
      </c>
      <c r="HH125" s="717"/>
      <c r="HI125" s="716"/>
      <c r="HJ125" s="701" t="str">
        <f t="shared" si="590"/>
        <v/>
      </c>
      <c r="HK125" s="66">
        <f t="shared" si="565"/>
        <v>0</v>
      </c>
      <c r="HL125" s="717"/>
      <c r="HM125" s="716"/>
      <c r="HN125" s="701" t="str">
        <f t="shared" si="591"/>
        <v/>
      </c>
      <c r="HO125" s="66">
        <f t="shared" si="566"/>
        <v>0</v>
      </c>
      <c r="HP125" s="717"/>
      <c r="HQ125" s="716"/>
      <c r="HR125" s="701" t="str">
        <f t="shared" si="592"/>
        <v/>
      </c>
      <c r="HS125" s="66">
        <f t="shared" si="567"/>
        <v>0</v>
      </c>
      <c r="HT125" s="717"/>
      <c r="HU125" s="716"/>
      <c r="HV125" s="701" t="str">
        <f t="shared" si="593"/>
        <v/>
      </c>
      <c r="HW125" s="66">
        <f t="shared" si="568"/>
        <v>0</v>
      </c>
      <c r="HX125" s="717"/>
      <c r="HY125" s="716"/>
      <c r="HZ125" s="701" t="str">
        <f t="shared" si="594"/>
        <v/>
      </c>
      <c r="IA125" s="66">
        <f t="shared" si="569"/>
        <v>0</v>
      </c>
      <c r="IB125" s="717"/>
      <c r="IC125" s="716"/>
      <c r="ID125" s="701" t="str">
        <f t="shared" si="595"/>
        <v/>
      </c>
      <c r="IE125" s="66">
        <f t="shared" si="570"/>
        <v>0</v>
      </c>
      <c r="IF125" s="717"/>
      <c r="IG125" s="716"/>
      <c r="IH125" s="701" t="str">
        <f t="shared" si="596"/>
        <v/>
      </c>
      <c r="II125" s="66">
        <f t="shared" si="571"/>
        <v>0</v>
      </c>
      <c r="IJ125" s="717"/>
      <c r="IK125" s="716"/>
      <c r="IL125" s="701" t="str">
        <f t="shared" si="597"/>
        <v/>
      </c>
      <c r="IM125" s="66">
        <f t="shared" si="572"/>
        <v>0</v>
      </c>
      <c r="IN125" s="717"/>
      <c r="IO125" s="716"/>
      <c r="IP125" s="701" t="str">
        <f t="shared" si="598"/>
        <v/>
      </c>
      <c r="IQ125" s="66">
        <f t="shared" si="573"/>
        <v>0</v>
      </c>
      <c r="IR125" s="717"/>
      <c r="IS125" s="716"/>
      <c r="IT125" s="701" t="str">
        <f t="shared" si="599"/>
        <v/>
      </c>
      <c r="IU125" s="66">
        <f t="shared" si="574"/>
        <v>0</v>
      </c>
      <c r="IV125" s="717"/>
      <c r="IW125" s="716"/>
      <c r="IX125" s="701" t="str">
        <f t="shared" si="600"/>
        <v/>
      </c>
      <c r="IY125" s="66">
        <f t="shared" si="575"/>
        <v>0</v>
      </c>
    </row>
    <row r="126" spans="44:259" ht="13.3" thickTop="1" thickBot="1" x14ac:dyDescent="0.35">
      <c r="AR126" s="1"/>
      <c r="AS126" s="1"/>
      <c r="AX126" s="2"/>
      <c r="BD126" s="1464" t="str">
        <f>AY52</f>
        <v/>
      </c>
      <c r="BE126" s="1465" t="s">
        <v>964</v>
      </c>
      <c r="BF126" s="1460"/>
      <c r="BG126" s="1460"/>
      <c r="BH126" s="1460"/>
      <c r="BI126" s="1460"/>
      <c r="BK126" s="1488">
        <f t="shared" si="620"/>
        <v>1</v>
      </c>
      <c r="BL126" s="827">
        <f t="shared" si="601"/>
        <v>0</v>
      </c>
      <c r="BM126" s="216">
        <f t="shared" si="621"/>
        <v>0</v>
      </c>
      <c r="BN126" s="216">
        <f t="shared" si="602"/>
        <v>0</v>
      </c>
      <c r="BO126" s="216">
        <f t="shared" si="603"/>
        <v>0</v>
      </c>
      <c r="BP126" s="216">
        <f t="shared" si="604"/>
        <v>0</v>
      </c>
      <c r="BQ126" s="216">
        <f t="shared" si="605"/>
        <v>0</v>
      </c>
      <c r="BR126" s="216">
        <f t="shared" si="606"/>
        <v>0</v>
      </c>
      <c r="BS126" s="216">
        <f t="shared" si="607"/>
        <v>0</v>
      </c>
      <c r="BT126" s="216">
        <f t="shared" si="608"/>
        <v>0</v>
      </c>
      <c r="BU126" s="827">
        <f t="shared" si="622"/>
        <v>0</v>
      </c>
      <c r="BV126" s="828">
        <f t="shared" si="609"/>
        <v>0</v>
      </c>
      <c r="BW126" s="828">
        <f t="shared" si="610"/>
        <v>0</v>
      </c>
      <c r="BX126" s="1">
        <f t="shared" si="611"/>
        <v>0</v>
      </c>
      <c r="BY126" s="1">
        <f t="shared" si="623"/>
        <v>0</v>
      </c>
      <c r="BZ126" s="827">
        <f t="shared" si="624"/>
        <v>0</v>
      </c>
      <c r="CA126" s="1">
        <f t="shared" si="612"/>
        <v>0</v>
      </c>
      <c r="CB126" s="1">
        <f t="shared" si="625"/>
        <v>0</v>
      </c>
      <c r="CC126" s="827">
        <f t="shared" si="626"/>
        <v>0</v>
      </c>
      <c r="CD126" s="1">
        <f t="shared" si="613"/>
        <v>0</v>
      </c>
      <c r="CE126" s="1">
        <f t="shared" si="627"/>
        <v>0</v>
      </c>
      <c r="CF126" s="827">
        <f t="shared" si="628"/>
        <v>0</v>
      </c>
      <c r="CG126" s="1">
        <f t="shared" si="614"/>
        <v>0</v>
      </c>
      <c r="CH126" s="1">
        <f t="shared" si="629"/>
        <v>0</v>
      </c>
      <c r="CI126" s="827">
        <f t="shared" si="630"/>
        <v>0</v>
      </c>
      <c r="CJ126" s="1">
        <f t="shared" si="615"/>
        <v>0</v>
      </c>
      <c r="CK126" s="1">
        <f t="shared" si="631"/>
        <v>0</v>
      </c>
      <c r="CL126" s="827">
        <f t="shared" si="632"/>
        <v>0</v>
      </c>
      <c r="CM126" s="1">
        <f t="shared" si="616"/>
        <v>0</v>
      </c>
      <c r="CN126" s="1">
        <f t="shared" si="633"/>
        <v>0</v>
      </c>
      <c r="CO126" s="827">
        <f t="shared" si="634"/>
        <v>0</v>
      </c>
      <c r="CP126" s="1">
        <f t="shared" si="617"/>
        <v>0</v>
      </c>
      <c r="CQ126" s="1">
        <f t="shared" si="635"/>
        <v>0</v>
      </c>
      <c r="CR126" s="827">
        <f t="shared" si="636"/>
        <v>0</v>
      </c>
      <c r="CS126" s="1">
        <f t="shared" si="618"/>
        <v>0</v>
      </c>
      <c r="CT126" s="1">
        <f t="shared" si="637"/>
        <v>0</v>
      </c>
      <c r="CU126" s="827">
        <f t="shared" si="638"/>
        <v>0</v>
      </c>
      <c r="EA126" s="33"/>
      <c r="EB126" s="2"/>
      <c r="EC126" s="2"/>
      <c r="EL126" s="522" t="str">
        <f t="shared" si="543"/>
        <v/>
      </c>
      <c r="EM126" s="17">
        <f t="shared" si="544"/>
        <v>0</v>
      </c>
      <c r="EN126" s="665">
        <f t="shared" si="576"/>
        <v>0</v>
      </c>
      <c r="EO126" s="665">
        <f t="shared" si="545"/>
        <v>0</v>
      </c>
      <c r="EP126" s="458">
        <f t="shared" si="546"/>
        <v>1</v>
      </c>
      <c r="EQ126" s="33"/>
      <c r="ER126" s="33"/>
      <c r="ES126" s="33"/>
      <c r="ET126" s="33"/>
      <c r="EU126" s="33"/>
      <c r="EV126" s="33"/>
      <c r="EW126" s="33"/>
      <c r="EX126" s="33"/>
      <c r="EY126" s="33">
        <v>15</v>
      </c>
      <c r="FD126" s="276" t="str">
        <f t="shared" si="547"/>
        <v/>
      </c>
      <c r="FE126" s="18">
        <f t="shared" si="548"/>
        <v>0</v>
      </c>
      <c r="FF126" s="275" t="str">
        <f t="shared" si="549"/>
        <v/>
      </c>
      <c r="FG126" s="145" t="str">
        <f t="shared" si="550"/>
        <v/>
      </c>
      <c r="FH126" s="19">
        <f t="shared" si="551"/>
        <v>0</v>
      </c>
      <c r="FI126" s="718"/>
      <c r="FJ126" s="701" t="str">
        <f t="shared" si="577"/>
        <v/>
      </c>
      <c r="FK126" s="66">
        <f t="shared" si="552"/>
        <v>0</v>
      </c>
      <c r="FL126" s="717"/>
      <c r="FM126" s="716"/>
      <c r="FN126" s="701" t="str">
        <f t="shared" si="578"/>
        <v/>
      </c>
      <c r="FO126" s="66">
        <f t="shared" si="553"/>
        <v>0</v>
      </c>
      <c r="FP126" s="717"/>
      <c r="FQ126" s="716"/>
      <c r="FR126" s="701" t="str">
        <f t="shared" si="579"/>
        <v/>
      </c>
      <c r="FS126" s="66">
        <f t="shared" si="554"/>
        <v>0</v>
      </c>
      <c r="FT126" s="717"/>
      <c r="FU126" s="716"/>
      <c r="FV126" s="701" t="str">
        <f t="shared" si="580"/>
        <v/>
      </c>
      <c r="FW126" s="66">
        <f t="shared" si="555"/>
        <v>0</v>
      </c>
      <c r="FX126" s="717"/>
      <c r="FY126" s="716"/>
      <c r="FZ126" s="701" t="str">
        <f t="shared" si="581"/>
        <v/>
      </c>
      <c r="GA126" s="66">
        <f t="shared" si="556"/>
        <v>0</v>
      </c>
      <c r="GB126" s="717"/>
      <c r="GC126" s="716"/>
      <c r="GD126" s="701" t="str">
        <f t="shared" si="582"/>
        <v/>
      </c>
      <c r="GE126" s="66">
        <f t="shared" si="557"/>
        <v>0</v>
      </c>
      <c r="GF126" s="717"/>
      <c r="GG126" s="716"/>
      <c r="GH126" s="701" t="str">
        <f t="shared" si="583"/>
        <v/>
      </c>
      <c r="GI126" s="66">
        <f t="shared" si="558"/>
        <v>0</v>
      </c>
      <c r="GJ126" s="717"/>
      <c r="GK126" s="716"/>
      <c r="GL126" s="701" t="str">
        <f t="shared" si="584"/>
        <v/>
      </c>
      <c r="GM126" s="66">
        <f t="shared" si="559"/>
        <v>0</v>
      </c>
      <c r="GN126" s="717"/>
      <c r="GO126" s="716"/>
      <c r="GP126" s="701" t="str">
        <f t="shared" si="585"/>
        <v/>
      </c>
      <c r="GQ126" s="66">
        <f t="shared" si="560"/>
        <v>0</v>
      </c>
      <c r="GR126" s="717"/>
      <c r="GS126" s="716"/>
      <c r="GT126" s="701" t="str">
        <f t="shared" si="586"/>
        <v/>
      </c>
      <c r="GU126" s="66">
        <f t="shared" si="561"/>
        <v>0</v>
      </c>
      <c r="GV126" s="717"/>
      <c r="GW126" s="716"/>
      <c r="GX126" s="701" t="str">
        <f t="shared" si="587"/>
        <v/>
      </c>
      <c r="GY126" s="66">
        <f t="shared" si="562"/>
        <v>0</v>
      </c>
      <c r="GZ126" s="717"/>
      <c r="HA126" s="716"/>
      <c r="HB126" s="701" t="str">
        <f t="shared" si="588"/>
        <v/>
      </c>
      <c r="HC126" s="66">
        <f t="shared" si="563"/>
        <v>0</v>
      </c>
      <c r="HD126" s="717"/>
      <c r="HE126" s="716"/>
      <c r="HF126" s="701" t="str">
        <f t="shared" si="589"/>
        <v/>
      </c>
      <c r="HG126" s="66">
        <f t="shared" si="564"/>
        <v>0</v>
      </c>
      <c r="HH126" s="717"/>
      <c r="HI126" s="716"/>
      <c r="HJ126" s="701" t="str">
        <f t="shared" si="590"/>
        <v/>
      </c>
      <c r="HK126" s="66">
        <f t="shared" si="565"/>
        <v>0</v>
      </c>
      <c r="HL126" s="717"/>
      <c r="HM126" s="716"/>
      <c r="HN126" s="701" t="str">
        <f t="shared" si="591"/>
        <v/>
      </c>
      <c r="HO126" s="66">
        <f t="shared" si="566"/>
        <v>0</v>
      </c>
      <c r="HP126" s="717"/>
      <c r="HQ126" s="716"/>
      <c r="HR126" s="701" t="str">
        <f t="shared" si="592"/>
        <v/>
      </c>
      <c r="HS126" s="66">
        <f t="shared" si="567"/>
        <v>0</v>
      </c>
      <c r="HT126" s="717"/>
      <c r="HU126" s="716"/>
      <c r="HV126" s="701" t="str">
        <f t="shared" si="593"/>
        <v/>
      </c>
      <c r="HW126" s="66">
        <f t="shared" si="568"/>
        <v>0</v>
      </c>
      <c r="HX126" s="717"/>
      <c r="HY126" s="716"/>
      <c r="HZ126" s="701" t="str">
        <f t="shared" si="594"/>
        <v/>
      </c>
      <c r="IA126" s="66">
        <f t="shared" si="569"/>
        <v>0</v>
      </c>
      <c r="IB126" s="717"/>
      <c r="IC126" s="716"/>
      <c r="ID126" s="701" t="str">
        <f t="shared" si="595"/>
        <v/>
      </c>
      <c r="IE126" s="66">
        <f t="shared" si="570"/>
        <v>0</v>
      </c>
      <c r="IF126" s="717"/>
      <c r="IG126" s="716"/>
      <c r="IH126" s="701" t="str">
        <f t="shared" si="596"/>
        <v/>
      </c>
      <c r="II126" s="66">
        <f t="shared" si="571"/>
        <v>0</v>
      </c>
      <c r="IJ126" s="717"/>
      <c r="IK126" s="716"/>
      <c r="IL126" s="701" t="str">
        <f t="shared" si="597"/>
        <v/>
      </c>
      <c r="IM126" s="66">
        <f t="shared" si="572"/>
        <v>0</v>
      </c>
      <c r="IN126" s="717"/>
      <c r="IO126" s="716"/>
      <c r="IP126" s="701" t="str">
        <f t="shared" si="598"/>
        <v/>
      </c>
      <c r="IQ126" s="66">
        <f t="shared" si="573"/>
        <v>0</v>
      </c>
      <c r="IR126" s="717"/>
      <c r="IS126" s="716"/>
      <c r="IT126" s="701" t="str">
        <f t="shared" si="599"/>
        <v/>
      </c>
      <c r="IU126" s="66">
        <f t="shared" si="574"/>
        <v>0</v>
      </c>
      <c r="IV126" s="717"/>
      <c r="IW126" s="716"/>
      <c r="IX126" s="701" t="str">
        <f t="shared" si="600"/>
        <v/>
      </c>
      <c r="IY126" s="66">
        <f t="shared" si="575"/>
        <v>0</v>
      </c>
    </row>
    <row r="127" spans="44:259" ht="13.3" thickTop="1" thickBot="1" x14ac:dyDescent="0.35">
      <c r="AR127" s="1"/>
      <c r="AS127" s="1"/>
      <c r="AX127" s="2"/>
      <c r="BK127" s="1488">
        <f t="shared" si="620"/>
        <v>1</v>
      </c>
      <c r="BL127" s="827">
        <f t="shared" si="601"/>
        <v>0</v>
      </c>
      <c r="BM127" s="216">
        <f t="shared" si="621"/>
        <v>0</v>
      </c>
      <c r="BN127" s="216">
        <f t="shared" si="602"/>
        <v>0</v>
      </c>
      <c r="BO127" s="216">
        <f t="shared" si="603"/>
        <v>0</v>
      </c>
      <c r="BP127" s="216">
        <f t="shared" si="604"/>
        <v>0</v>
      </c>
      <c r="BQ127" s="216">
        <f t="shared" si="605"/>
        <v>0</v>
      </c>
      <c r="BR127" s="216">
        <f t="shared" si="606"/>
        <v>0</v>
      </c>
      <c r="BS127" s="216">
        <f t="shared" si="607"/>
        <v>0</v>
      </c>
      <c r="BT127" s="216">
        <f t="shared" si="608"/>
        <v>0</v>
      </c>
      <c r="BU127" s="827">
        <f t="shared" si="622"/>
        <v>0</v>
      </c>
      <c r="BV127" s="828">
        <f t="shared" si="609"/>
        <v>0</v>
      </c>
      <c r="BW127" s="828">
        <f t="shared" si="610"/>
        <v>0</v>
      </c>
      <c r="BX127" s="1">
        <f t="shared" si="611"/>
        <v>0</v>
      </c>
      <c r="BY127" s="1">
        <f t="shared" si="623"/>
        <v>0</v>
      </c>
      <c r="BZ127" s="827">
        <f t="shared" si="624"/>
        <v>0</v>
      </c>
      <c r="CA127" s="1">
        <f t="shared" si="612"/>
        <v>0</v>
      </c>
      <c r="CB127" s="1">
        <f t="shared" si="625"/>
        <v>0</v>
      </c>
      <c r="CC127" s="827">
        <f t="shared" si="626"/>
        <v>0</v>
      </c>
      <c r="CD127" s="1">
        <f t="shared" si="613"/>
        <v>0</v>
      </c>
      <c r="CE127" s="1">
        <f t="shared" si="627"/>
        <v>0</v>
      </c>
      <c r="CF127" s="827">
        <f t="shared" si="628"/>
        <v>0</v>
      </c>
      <c r="CG127" s="1">
        <f t="shared" si="614"/>
        <v>0</v>
      </c>
      <c r="CH127" s="1">
        <f t="shared" si="629"/>
        <v>0</v>
      </c>
      <c r="CI127" s="827">
        <f t="shared" si="630"/>
        <v>0</v>
      </c>
      <c r="CJ127" s="1">
        <f t="shared" si="615"/>
        <v>0</v>
      </c>
      <c r="CK127" s="1">
        <f t="shared" si="631"/>
        <v>0</v>
      </c>
      <c r="CL127" s="827">
        <f t="shared" si="632"/>
        <v>0</v>
      </c>
      <c r="CM127" s="1">
        <f t="shared" si="616"/>
        <v>0</v>
      </c>
      <c r="CN127" s="1">
        <f t="shared" si="633"/>
        <v>0</v>
      </c>
      <c r="CO127" s="827">
        <f t="shared" si="634"/>
        <v>0</v>
      </c>
      <c r="CP127" s="1">
        <f t="shared" si="617"/>
        <v>0</v>
      </c>
      <c r="CQ127" s="1">
        <f t="shared" si="635"/>
        <v>0</v>
      </c>
      <c r="CR127" s="827">
        <f t="shared" si="636"/>
        <v>0</v>
      </c>
      <c r="CS127" s="1">
        <f t="shared" si="618"/>
        <v>0</v>
      </c>
      <c r="CT127" s="1">
        <f t="shared" si="637"/>
        <v>0</v>
      </c>
      <c r="CU127" s="827">
        <f t="shared" si="638"/>
        <v>0</v>
      </c>
      <c r="EA127" s="33"/>
      <c r="EL127" s="522" t="str">
        <f t="shared" si="543"/>
        <v/>
      </c>
      <c r="EM127" s="17">
        <f t="shared" si="544"/>
        <v>0</v>
      </c>
      <c r="EN127" s="665">
        <f t="shared" si="576"/>
        <v>0</v>
      </c>
      <c r="EO127" s="665">
        <f t="shared" si="545"/>
        <v>0</v>
      </c>
      <c r="EP127" s="458">
        <f t="shared" si="546"/>
        <v>1</v>
      </c>
      <c r="EQ127" s="33"/>
      <c r="ER127" s="33"/>
      <c r="ES127" s="33"/>
      <c r="ET127" s="33"/>
      <c r="EU127" s="33"/>
      <c r="EV127" s="33"/>
      <c r="EW127" s="33"/>
      <c r="EX127" s="33"/>
      <c r="EY127" s="33">
        <v>16</v>
      </c>
      <c r="FD127" s="276" t="str">
        <f t="shared" si="547"/>
        <v/>
      </c>
      <c r="FE127" s="18">
        <f t="shared" si="548"/>
        <v>0</v>
      </c>
      <c r="FF127" s="275" t="str">
        <f t="shared" si="549"/>
        <v/>
      </c>
      <c r="FG127" s="145" t="str">
        <f t="shared" si="550"/>
        <v/>
      </c>
      <c r="FH127" s="19">
        <f t="shared" si="551"/>
        <v>0</v>
      </c>
      <c r="FI127" s="718"/>
      <c r="FJ127" s="701" t="str">
        <f t="shared" si="577"/>
        <v/>
      </c>
      <c r="FK127" s="66">
        <f t="shared" si="552"/>
        <v>0</v>
      </c>
      <c r="FL127" s="717"/>
      <c r="FM127" s="716"/>
      <c r="FN127" s="701" t="str">
        <f t="shared" si="578"/>
        <v/>
      </c>
      <c r="FO127" s="66">
        <f t="shared" si="553"/>
        <v>0</v>
      </c>
      <c r="FP127" s="717"/>
      <c r="FQ127" s="716"/>
      <c r="FR127" s="701" t="str">
        <f t="shared" si="579"/>
        <v/>
      </c>
      <c r="FS127" s="66">
        <f t="shared" si="554"/>
        <v>0</v>
      </c>
      <c r="FT127" s="717"/>
      <c r="FU127" s="716"/>
      <c r="FV127" s="701" t="str">
        <f t="shared" si="580"/>
        <v/>
      </c>
      <c r="FW127" s="66">
        <f t="shared" si="555"/>
        <v>0</v>
      </c>
      <c r="FX127" s="717"/>
      <c r="FY127" s="716"/>
      <c r="FZ127" s="701" t="str">
        <f t="shared" si="581"/>
        <v/>
      </c>
      <c r="GA127" s="66">
        <f t="shared" si="556"/>
        <v>0</v>
      </c>
      <c r="GB127" s="717"/>
      <c r="GC127" s="716"/>
      <c r="GD127" s="701" t="str">
        <f t="shared" si="582"/>
        <v/>
      </c>
      <c r="GE127" s="66">
        <f t="shared" si="557"/>
        <v>0</v>
      </c>
      <c r="GF127" s="717"/>
      <c r="GG127" s="716"/>
      <c r="GH127" s="701" t="str">
        <f t="shared" si="583"/>
        <v/>
      </c>
      <c r="GI127" s="66">
        <f t="shared" si="558"/>
        <v>0</v>
      </c>
      <c r="GJ127" s="717"/>
      <c r="GK127" s="716"/>
      <c r="GL127" s="701" t="str">
        <f t="shared" si="584"/>
        <v/>
      </c>
      <c r="GM127" s="66">
        <f t="shared" si="559"/>
        <v>0</v>
      </c>
      <c r="GN127" s="717"/>
      <c r="GO127" s="716"/>
      <c r="GP127" s="701" t="str">
        <f t="shared" si="585"/>
        <v/>
      </c>
      <c r="GQ127" s="66">
        <f t="shared" si="560"/>
        <v>0</v>
      </c>
      <c r="GR127" s="717"/>
      <c r="GS127" s="716"/>
      <c r="GT127" s="701" t="str">
        <f t="shared" si="586"/>
        <v/>
      </c>
      <c r="GU127" s="66">
        <f t="shared" si="561"/>
        <v>0</v>
      </c>
      <c r="GV127" s="717"/>
      <c r="GW127" s="716"/>
      <c r="GX127" s="701" t="str">
        <f t="shared" si="587"/>
        <v/>
      </c>
      <c r="GY127" s="66">
        <f t="shared" si="562"/>
        <v>0</v>
      </c>
      <c r="GZ127" s="717"/>
      <c r="HA127" s="716"/>
      <c r="HB127" s="701" t="str">
        <f t="shared" si="588"/>
        <v/>
      </c>
      <c r="HC127" s="66">
        <f t="shared" si="563"/>
        <v>0</v>
      </c>
      <c r="HD127" s="717"/>
      <c r="HE127" s="716"/>
      <c r="HF127" s="701" t="str">
        <f t="shared" si="589"/>
        <v/>
      </c>
      <c r="HG127" s="66">
        <f t="shared" si="564"/>
        <v>0</v>
      </c>
      <c r="HH127" s="717"/>
      <c r="HI127" s="716"/>
      <c r="HJ127" s="701" t="str">
        <f t="shared" si="590"/>
        <v/>
      </c>
      <c r="HK127" s="66">
        <f t="shared" si="565"/>
        <v>0</v>
      </c>
      <c r="HL127" s="717"/>
      <c r="HM127" s="716"/>
      <c r="HN127" s="701" t="str">
        <f t="shared" si="591"/>
        <v/>
      </c>
      <c r="HO127" s="66">
        <f t="shared" si="566"/>
        <v>0</v>
      </c>
      <c r="HP127" s="717"/>
      <c r="HQ127" s="716"/>
      <c r="HR127" s="701" t="str">
        <f t="shared" si="592"/>
        <v/>
      </c>
      <c r="HS127" s="66">
        <f t="shared" si="567"/>
        <v>0</v>
      </c>
      <c r="HT127" s="717"/>
      <c r="HU127" s="716"/>
      <c r="HV127" s="701" t="str">
        <f t="shared" si="593"/>
        <v/>
      </c>
      <c r="HW127" s="66">
        <f t="shared" si="568"/>
        <v>0</v>
      </c>
      <c r="HX127" s="717"/>
      <c r="HY127" s="716"/>
      <c r="HZ127" s="701" t="str">
        <f t="shared" si="594"/>
        <v/>
      </c>
      <c r="IA127" s="66">
        <f t="shared" si="569"/>
        <v>0</v>
      </c>
      <c r="IB127" s="717"/>
      <c r="IC127" s="716"/>
      <c r="ID127" s="701" t="str">
        <f t="shared" si="595"/>
        <v/>
      </c>
      <c r="IE127" s="66">
        <f t="shared" si="570"/>
        <v>0</v>
      </c>
      <c r="IF127" s="717"/>
      <c r="IG127" s="716"/>
      <c r="IH127" s="701" t="str">
        <f t="shared" si="596"/>
        <v/>
      </c>
      <c r="II127" s="66">
        <f t="shared" si="571"/>
        <v>0</v>
      </c>
      <c r="IJ127" s="717"/>
      <c r="IK127" s="716"/>
      <c r="IL127" s="701" t="str">
        <f t="shared" si="597"/>
        <v/>
      </c>
      <c r="IM127" s="66">
        <f t="shared" si="572"/>
        <v>0</v>
      </c>
      <c r="IN127" s="717"/>
      <c r="IO127" s="716"/>
      <c r="IP127" s="701" t="str">
        <f t="shared" si="598"/>
        <v/>
      </c>
      <c r="IQ127" s="66">
        <f t="shared" si="573"/>
        <v>0</v>
      </c>
      <c r="IR127" s="717"/>
      <c r="IS127" s="716"/>
      <c r="IT127" s="701" t="str">
        <f t="shared" si="599"/>
        <v/>
      </c>
      <c r="IU127" s="66">
        <f t="shared" si="574"/>
        <v>0</v>
      </c>
      <c r="IV127" s="717"/>
      <c r="IW127" s="716"/>
      <c r="IX127" s="701" t="str">
        <f t="shared" si="600"/>
        <v/>
      </c>
      <c r="IY127" s="66">
        <f t="shared" si="575"/>
        <v>0</v>
      </c>
    </row>
    <row r="128" spans="44:259" ht="15.75" customHeight="1" thickTop="1" thickBot="1" x14ac:dyDescent="0.55000000000000004">
      <c r="AR128" s="1"/>
      <c r="AS128" s="1"/>
      <c r="AT128" s="1225" t="s">
        <v>835</v>
      </c>
      <c r="AU128" s="1223"/>
      <c r="AV128" s="1223"/>
      <c r="AW128" s="1223"/>
      <c r="AX128" s="1223"/>
      <c r="AY128" s="1223"/>
      <c r="AZ128" s="1223"/>
      <c r="BA128" s="1223"/>
      <c r="BB128" s="1223"/>
      <c r="BC128" s="1223"/>
      <c r="BD128" s="1223"/>
      <c r="BE128" s="1223"/>
      <c r="BF128" s="1223"/>
      <c r="BG128" s="1223"/>
      <c r="BH128" s="1223"/>
      <c r="BI128" s="1223"/>
      <c r="BK128" s="1488">
        <f t="shared" si="620"/>
        <v>1</v>
      </c>
      <c r="BL128" s="827">
        <f t="shared" si="601"/>
        <v>0</v>
      </c>
      <c r="BM128" s="216">
        <f t="shared" si="621"/>
        <v>0</v>
      </c>
      <c r="BN128" s="216">
        <f t="shared" si="602"/>
        <v>0</v>
      </c>
      <c r="BO128" s="216">
        <f t="shared" si="603"/>
        <v>0</v>
      </c>
      <c r="BP128" s="216">
        <f t="shared" si="604"/>
        <v>0</v>
      </c>
      <c r="BQ128" s="216">
        <f t="shared" si="605"/>
        <v>0</v>
      </c>
      <c r="BR128" s="216">
        <f t="shared" si="606"/>
        <v>0</v>
      </c>
      <c r="BS128" s="216">
        <f t="shared" si="607"/>
        <v>0</v>
      </c>
      <c r="BT128" s="216">
        <f t="shared" si="608"/>
        <v>0</v>
      </c>
      <c r="BU128" s="827">
        <f t="shared" si="622"/>
        <v>0</v>
      </c>
      <c r="BV128" s="828">
        <f t="shared" si="609"/>
        <v>0</v>
      </c>
      <c r="BW128" s="828">
        <f t="shared" si="610"/>
        <v>0</v>
      </c>
      <c r="BX128" s="1">
        <f t="shared" si="611"/>
        <v>0</v>
      </c>
      <c r="BY128" s="1">
        <f t="shared" si="623"/>
        <v>0</v>
      </c>
      <c r="BZ128" s="827">
        <f t="shared" si="624"/>
        <v>0</v>
      </c>
      <c r="CA128" s="1">
        <f t="shared" si="612"/>
        <v>0</v>
      </c>
      <c r="CB128" s="1">
        <f t="shared" si="625"/>
        <v>0</v>
      </c>
      <c r="CC128" s="827">
        <f t="shared" si="626"/>
        <v>0</v>
      </c>
      <c r="CD128" s="1">
        <f t="shared" si="613"/>
        <v>0</v>
      </c>
      <c r="CE128" s="1">
        <f t="shared" si="627"/>
        <v>0</v>
      </c>
      <c r="CF128" s="827">
        <f t="shared" si="628"/>
        <v>0</v>
      </c>
      <c r="CG128" s="1">
        <f t="shared" si="614"/>
        <v>0</v>
      </c>
      <c r="CH128" s="1">
        <f t="shared" si="629"/>
        <v>0</v>
      </c>
      <c r="CI128" s="827">
        <f t="shared" si="630"/>
        <v>0</v>
      </c>
      <c r="CJ128" s="1">
        <f t="shared" si="615"/>
        <v>0</v>
      </c>
      <c r="CK128" s="1">
        <f t="shared" si="631"/>
        <v>0</v>
      </c>
      <c r="CL128" s="827">
        <f t="shared" si="632"/>
        <v>0</v>
      </c>
      <c r="CM128" s="1">
        <f t="shared" si="616"/>
        <v>0</v>
      </c>
      <c r="CN128" s="1">
        <f t="shared" si="633"/>
        <v>0</v>
      </c>
      <c r="CO128" s="827">
        <f t="shared" si="634"/>
        <v>0</v>
      </c>
      <c r="CP128" s="1">
        <f t="shared" si="617"/>
        <v>0</v>
      </c>
      <c r="CQ128" s="1">
        <f t="shared" si="635"/>
        <v>0</v>
      </c>
      <c r="CR128" s="827">
        <f t="shared" si="636"/>
        <v>0</v>
      </c>
      <c r="CS128" s="1">
        <f t="shared" si="618"/>
        <v>0</v>
      </c>
      <c r="CT128" s="1">
        <f t="shared" si="637"/>
        <v>0</v>
      </c>
      <c r="CU128" s="827">
        <f t="shared" si="638"/>
        <v>0</v>
      </c>
      <c r="EA128" s="33"/>
      <c r="EH128" s="494" t="s">
        <v>532</v>
      </c>
      <c r="EI128" s="687" t="s">
        <v>533</v>
      </c>
      <c r="EJ128" s="17" t="str">
        <f>IF(SUM(EN112:EN136)=0,"",(EM112*EN112+EM113*EN113+EM114*EN114+EM115*EN115+EM116*EN116+EM117*EN117+EM118*EN118+EM119*EN119+EM120*EN120+EM121*EN121+EM122*EN122+EM123*EN123+EM124*EN124+EM125*EN125+EM126*EN126+EM127*EN127+EM128*EN128+EM129*EN129+EM130*EN130+EM131*EN131+EM132*EN132+EM133*EN133+EM134*EN134+EM135*EN135+EM136*EN136)/SUM(EN112:EN136))</f>
        <v/>
      </c>
      <c r="EK128" s="688" t="s">
        <v>39</v>
      </c>
      <c r="EL128" s="522" t="str">
        <f t="shared" si="543"/>
        <v/>
      </c>
      <c r="EM128" s="17">
        <f t="shared" si="544"/>
        <v>0</v>
      </c>
      <c r="EN128" s="665">
        <f t="shared" si="576"/>
        <v>0</v>
      </c>
      <c r="EO128" s="665">
        <f t="shared" si="545"/>
        <v>0</v>
      </c>
      <c r="EP128" s="458">
        <f t="shared" si="546"/>
        <v>1</v>
      </c>
      <c r="EQ128" s="33"/>
      <c r="ER128" s="33"/>
      <c r="ES128" s="33"/>
      <c r="ET128" s="33"/>
      <c r="EU128" s="33"/>
      <c r="EV128" s="33"/>
      <c r="EW128" s="33"/>
      <c r="EX128" s="33"/>
      <c r="EY128" s="33">
        <v>17</v>
      </c>
      <c r="FD128" s="276" t="str">
        <f t="shared" si="547"/>
        <v/>
      </c>
      <c r="FE128" s="18">
        <f t="shared" si="548"/>
        <v>0</v>
      </c>
      <c r="FF128" s="275" t="str">
        <f t="shared" si="549"/>
        <v/>
      </c>
      <c r="FG128" s="145" t="str">
        <f t="shared" si="550"/>
        <v/>
      </c>
      <c r="FH128" s="19">
        <f t="shared" si="551"/>
        <v>0</v>
      </c>
      <c r="FI128" s="718"/>
      <c r="FJ128" s="701" t="str">
        <f t="shared" si="577"/>
        <v/>
      </c>
      <c r="FK128" s="66">
        <f t="shared" si="552"/>
        <v>0</v>
      </c>
      <c r="FL128" s="717"/>
      <c r="FM128" s="716"/>
      <c r="FN128" s="701" t="str">
        <f t="shared" si="578"/>
        <v/>
      </c>
      <c r="FO128" s="66">
        <f t="shared" si="553"/>
        <v>0</v>
      </c>
      <c r="FP128" s="717"/>
      <c r="FQ128" s="716"/>
      <c r="FR128" s="701" t="str">
        <f t="shared" si="579"/>
        <v/>
      </c>
      <c r="FS128" s="66">
        <f t="shared" si="554"/>
        <v>0</v>
      </c>
      <c r="FT128" s="717"/>
      <c r="FU128" s="716"/>
      <c r="FV128" s="701" t="str">
        <f t="shared" si="580"/>
        <v/>
      </c>
      <c r="FW128" s="66">
        <f t="shared" si="555"/>
        <v>0</v>
      </c>
      <c r="FX128" s="717"/>
      <c r="FY128" s="716"/>
      <c r="FZ128" s="701" t="str">
        <f t="shared" si="581"/>
        <v/>
      </c>
      <c r="GA128" s="66">
        <f t="shared" si="556"/>
        <v>0</v>
      </c>
      <c r="GB128" s="717"/>
      <c r="GC128" s="716"/>
      <c r="GD128" s="701" t="str">
        <f t="shared" si="582"/>
        <v/>
      </c>
      <c r="GE128" s="66">
        <f t="shared" si="557"/>
        <v>0</v>
      </c>
      <c r="GF128" s="717"/>
      <c r="GG128" s="716"/>
      <c r="GH128" s="701" t="str">
        <f t="shared" si="583"/>
        <v/>
      </c>
      <c r="GI128" s="66">
        <f t="shared" si="558"/>
        <v>0</v>
      </c>
      <c r="GJ128" s="717"/>
      <c r="GK128" s="716"/>
      <c r="GL128" s="701" t="str">
        <f t="shared" si="584"/>
        <v/>
      </c>
      <c r="GM128" s="66">
        <f t="shared" si="559"/>
        <v>0</v>
      </c>
      <c r="GN128" s="717"/>
      <c r="GO128" s="716"/>
      <c r="GP128" s="701" t="str">
        <f t="shared" si="585"/>
        <v/>
      </c>
      <c r="GQ128" s="66">
        <f t="shared" si="560"/>
        <v>0</v>
      </c>
      <c r="GR128" s="717"/>
      <c r="GS128" s="716"/>
      <c r="GT128" s="701" t="str">
        <f t="shared" si="586"/>
        <v/>
      </c>
      <c r="GU128" s="66">
        <f t="shared" si="561"/>
        <v>0</v>
      </c>
      <c r="GV128" s="717"/>
      <c r="GW128" s="716"/>
      <c r="GX128" s="701" t="str">
        <f t="shared" si="587"/>
        <v/>
      </c>
      <c r="GY128" s="66">
        <f t="shared" si="562"/>
        <v>0</v>
      </c>
      <c r="GZ128" s="717"/>
      <c r="HA128" s="716"/>
      <c r="HB128" s="701" t="str">
        <f t="shared" si="588"/>
        <v/>
      </c>
      <c r="HC128" s="66">
        <f t="shared" si="563"/>
        <v>0</v>
      </c>
      <c r="HD128" s="717"/>
      <c r="HE128" s="716"/>
      <c r="HF128" s="701" t="str">
        <f t="shared" si="589"/>
        <v/>
      </c>
      <c r="HG128" s="66">
        <f t="shared" si="564"/>
        <v>0</v>
      </c>
      <c r="HH128" s="717"/>
      <c r="HI128" s="716"/>
      <c r="HJ128" s="701" t="str">
        <f t="shared" si="590"/>
        <v/>
      </c>
      <c r="HK128" s="66">
        <f t="shared" si="565"/>
        <v>0</v>
      </c>
      <c r="HL128" s="717"/>
      <c r="HM128" s="716"/>
      <c r="HN128" s="701" t="str">
        <f t="shared" si="591"/>
        <v/>
      </c>
      <c r="HO128" s="66">
        <f t="shared" si="566"/>
        <v>0</v>
      </c>
      <c r="HP128" s="717"/>
      <c r="HQ128" s="716"/>
      <c r="HR128" s="701" t="str">
        <f t="shared" si="592"/>
        <v/>
      </c>
      <c r="HS128" s="66">
        <f t="shared" si="567"/>
        <v>0</v>
      </c>
      <c r="HT128" s="717"/>
      <c r="HU128" s="716"/>
      <c r="HV128" s="701" t="str">
        <f t="shared" si="593"/>
        <v/>
      </c>
      <c r="HW128" s="66">
        <f t="shared" si="568"/>
        <v>0</v>
      </c>
      <c r="HX128" s="717"/>
      <c r="HY128" s="716"/>
      <c r="HZ128" s="701" t="str">
        <f t="shared" si="594"/>
        <v/>
      </c>
      <c r="IA128" s="66">
        <f t="shared" si="569"/>
        <v>0</v>
      </c>
      <c r="IB128" s="717"/>
      <c r="IC128" s="716"/>
      <c r="ID128" s="701" t="str">
        <f t="shared" si="595"/>
        <v/>
      </c>
      <c r="IE128" s="66">
        <f t="shared" si="570"/>
        <v>0</v>
      </c>
      <c r="IF128" s="717"/>
      <c r="IG128" s="716"/>
      <c r="IH128" s="701" t="str">
        <f t="shared" si="596"/>
        <v/>
      </c>
      <c r="II128" s="66">
        <f t="shared" si="571"/>
        <v>0</v>
      </c>
      <c r="IJ128" s="717"/>
      <c r="IK128" s="716"/>
      <c r="IL128" s="701" t="str">
        <f t="shared" si="597"/>
        <v/>
      </c>
      <c r="IM128" s="66">
        <f t="shared" si="572"/>
        <v>0</v>
      </c>
      <c r="IN128" s="717"/>
      <c r="IO128" s="716"/>
      <c r="IP128" s="701" t="str">
        <f t="shared" si="598"/>
        <v/>
      </c>
      <c r="IQ128" s="66">
        <f t="shared" si="573"/>
        <v>0</v>
      </c>
      <c r="IR128" s="717"/>
      <c r="IS128" s="716"/>
      <c r="IT128" s="701" t="str">
        <f t="shared" si="599"/>
        <v/>
      </c>
      <c r="IU128" s="66">
        <f t="shared" si="574"/>
        <v>0</v>
      </c>
      <c r="IV128" s="717"/>
      <c r="IW128" s="716"/>
      <c r="IX128" s="701" t="str">
        <f t="shared" si="600"/>
        <v/>
      </c>
      <c r="IY128" s="66">
        <f t="shared" si="575"/>
        <v>0</v>
      </c>
    </row>
    <row r="129" spans="42:259" ht="15" thickTop="1" thickBot="1" x14ac:dyDescent="0.35">
      <c r="AR129" s="1"/>
      <c r="AS129" s="1"/>
      <c r="AT129" s="1255" t="s">
        <v>879</v>
      </c>
      <c r="AU129" s="1255" t="s">
        <v>880</v>
      </c>
      <c r="AV129" s="502" t="s">
        <v>331</v>
      </c>
      <c r="AW129" s="1227" t="s">
        <v>836</v>
      </c>
      <c r="AX129" s="2"/>
      <c r="AY129" s="1226" t="s">
        <v>85</v>
      </c>
      <c r="AZ129" s="1224">
        <v>1</v>
      </c>
      <c r="BA129" s="1224">
        <v>2</v>
      </c>
      <c r="BB129" s="1224">
        <v>3</v>
      </c>
      <c r="BC129" s="1224">
        <v>4</v>
      </c>
      <c r="BD129" s="1224">
        <v>5</v>
      </c>
      <c r="BE129" s="1224">
        <v>6</v>
      </c>
      <c r="BF129" s="1224">
        <v>7</v>
      </c>
      <c r="BG129" s="1224">
        <v>8</v>
      </c>
      <c r="BH129" s="1224">
        <v>9</v>
      </c>
      <c r="BI129" s="1224">
        <v>10</v>
      </c>
      <c r="BK129" s="1488">
        <f t="shared" si="620"/>
        <v>1</v>
      </c>
      <c r="BL129" s="827">
        <f t="shared" si="601"/>
        <v>0</v>
      </c>
      <c r="BM129" s="216">
        <f t="shared" si="621"/>
        <v>0</v>
      </c>
      <c r="BN129" s="216">
        <f t="shared" si="602"/>
        <v>0</v>
      </c>
      <c r="BO129" s="216">
        <f t="shared" si="603"/>
        <v>0</v>
      </c>
      <c r="BP129" s="216">
        <f t="shared" si="604"/>
        <v>0</v>
      </c>
      <c r="BQ129" s="216">
        <f t="shared" si="605"/>
        <v>0</v>
      </c>
      <c r="BR129" s="216">
        <f t="shared" si="606"/>
        <v>0</v>
      </c>
      <c r="BS129" s="216">
        <f t="shared" si="607"/>
        <v>0</v>
      </c>
      <c r="BT129" s="216">
        <f t="shared" si="608"/>
        <v>0</v>
      </c>
      <c r="BU129" s="827">
        <f t="shared" si="622"/>
        <v>0</v>
      </c>
      <c r="BV129" s="828">
        <f t="shared" si="609"/>
        <v>0</v>
      </c>
      <c r="BW129" s="828">
        <f t="shared" si="610"/>
        <v>0</v>
      </c>
      <c r="BX129" s="1">
        <f t="shared" si="611"/>
        <v>0</v>
      </c>
      <c r="BY129" s="1">
        <f t="shared" si="623"/>
        <v>0</v>
      </c>
      <c r="BZ129" s="827">
        <f t="shared" si="624"/>
        <v>0</v>
      </c>
      <c r="CA129" s="1">
        <f t="shared" si="612"/>
        <v>0</v>
      </c>
      <c r="CB129" s="1">
        <f t="shared" si="625"/>
        <v>0</v>
      </c>
      <c r="CC129" s="827">
        <f t="shared" si="626"/>
        <v>0</v>
      </c>
      <c r="CD129" s="1">
        <f t="shared" si="613"/>
        <v>0</v>
      </c>
      <c r="CE129" s="1">
        <f t="shared" si="627"/>
        <v>0</v>
      </c>
      <c r="CF129" s="827">
        <f t="shared" si="628"/>
        <v>0</v>
      </c>
      <c r="CG129" s="1">
        <f t="shared" si="614"/>
        <v>0</v>
      </c>
      <c r="CH129" s="1">
        <f t="shared" si="629"/>
        <v>0</v>
      </c>
      <c r="CI129" s="827">
        <f t="shared" si="630"/>
        <v>0</v>
      </c>
      <c r="CJ129" s="1">
        <f t="shared" si="615"/>
        <v>0</v>
      </c>
      <c r="CK129" s="1">
        <f t="shared" si="631"/>
        <v>0</v>
      </c>
      <c r="CL129" s="827">
        <f t="shared" si="632"/>
        <v>0</v>
      </c>
      <c r="CM129" s="1">
        <f t="shared" si="616"/>
        <v>0</v>
      </c>
      <c r="CN129" s="1">
        <f t="shared" si="633"/>
        <v>0</v>
      </c>
      <c r="CO129" s="827">
        <f t="shared" si="634"/>
        <v>0</v>
      </c>
      <c r="CP129" s="1">
        <f t="shared" si="617"/>
        <v>0</v>
      </c>
      <c r="CQ129" s="1">
        <f t="shared" si="635"/>
        <v>0</v>
      </c>
      <c r="CR129" s="827">
        <f t="shared" si="636"/>
        <v>0</v>
      </c>
      <c r="CS129" s="1">
        <f t="shared" si="618"/>
        <v>0</v>
      </c>
      <c r="CT129" s="1">
        <f t="shared" si="637"/>
        <v>0</v>
      </c>
      <c r="CU129" s="827">
        <f t="shared" si="638"/>
        <v>0</v>
      </c>
      <c r="EA129" s="33"/>
      <c r="EL129" s="522" t="str">
        <f t="shared" si="543"/>
        <v/>
      </c>
      <c r="EM129" s="17">
        <f t="shared" si="544"/>
        <v>0</v>
      </c>
      <c r="EN129" s="665">
        <f t="shared" si="576"/>
        <v>0</v>
      </c>
      <c r="EO129" s="665">
        <f t="shared" si="545"/>
        <v>0</v>
      </c>
      <c r="EP129" s="458">
        <f t="shared" si="546"/>
        <v>1</v>
      </c>
      <c r="EQ129" s="33"/>
      <c r="ER129" s="33"/>
      <c r="ES129" s="33"/>
      <c r="ET129" s="33"/>
      <c r="EU129" s="33"/>
      <c r="EV129" s="33"/>
      <c r="EW129" s="33"/>
      <c r="EX129" s="33"/>
      <c r="EY129" s="33">
        <v>18</v>
      </c>
      <c r="FD129" s="276" t="str">
        <f t="shared" si="547"/>
        <v/>
      </c>
      <c r="FE129" s="18">
        <f t="shared" si="548"/>
        <v>0</v>
      </c>
      <c r="FF129" s="275" t="str">
        <f t="shared" si="549"/>
        <v/>
      </c>
      <c r="FG129" s="145" t="str">
        <f t="shared" si="550"/>
        <v/>
      </c>
      <c r="FH129" s="19">
        <f t="shared" si="551"/>
        <v>0</v>
      </c>
      <c r="FI129" s="718"/>
      <c r="FJ129" s="701" t="str">
        <f t="shared" si="577"/>
        <v/>
      </c>
      <c r="FK129" s="66">
        <f t="shared" si="552"/>
        <v>0</v>
      </c>
      <c r="FL129" s="717"/>
      <c r="FM129" s="716"/>
      <c r="FN129" s="701" t="str">
        <f t="shared" si="578"/>
        <v/>
      </c>
      <c r="FO129" s="66">
        <f t="shared" si="553"/>
        <v>0</v>
      </c>
      <c r="FP129" s="717"/>
      <c r="FQ129" s="716"/>
      <c r="FR129" s="701" t="str">
        <f t="shared" si="579"/>
        <v/>
      </c>
      <c r="FS129" s="66">
        <f t="shared" si="554"/>
        <v>0</v>
      </c>
      <c r="FT129" s="717"/>
      <c r="FU129" s="716"/>
      <c r="FV129" s="701" t="str">
        <f t="shared" si="580"/>
        <v/>
      </c>
      <c r="FW129" s="66">
        <f t="shared" si="555"/>
        <v>0</v>
      </c>
      <c r="FX129" s="717"/>
      <c r="FY129" s="716"/>
      <c r="FZ129" s="701" t="str">
        <f t="shared" si="581"/>
        <v/>
      </c>
      <c r="GA129" s="66">
        <f t="shared" si="556"/>
        <v>0</v>
      </c>
      <c r="GB129" s="717"/>
      <c r="GC129" s="716"/>
      <c r="GD129" s="701" t="str">
        <f t="shared" si="582"/>
        <v/>
      </c>
      <c r="GE129" s="66">
        <f t="shared" si="557"/>
        <v>0</v>
      </c>
      <c r="GF129" s="717"/>
      <c r="GG129" s="716"/>
      <c r="GH129" s="701" t="str">
        <f t="shared" si="583"/>
        <v/>
      </c>
      <c r="GI129" s="66">
        <f t="shared" si="558"/>
        <v>0</v>
      </c>
      <c r="GJ129" s="717"/>
      <c r="GK129" s="716"/>
      <c r="GL129" s="701" t="str">
        <f t="shared" si="584"/>
        <v/>
      </c>
      <c r="GM129" s="66">
        <f t="shared" si="559"/>
        <v>0</v>
      </c>
      <c r="GN129" s="717"/>
      <c r="GO129" s="716"/>
      <c r="GP129" s="701" t="str">
        <f t="shared" si="585"/>
        <v/>
      </c>
      <c r="GQ129" s="66">
        <f t="shared" si="560"/>
        <v>0</v>
      </c>
      <c r="GR129" s="717"/>
      <c r="GS129" s="716"/>
      <c r="GT129" s="701" t="str">
        <f t="shared" si="586"/>
        <v/>
      </c>
      <c r="GU129" s="66">
        <f t="shared" si="561"/>
        <v>0</v>
      </c>
      <c r="GV129" s="717"/>
      <c r="GW129" s="716"/>
      <c r="GX129" s="701" t="str">
        <f t="shared" si="587"/>
        <v/>
      </c>
      <c r="GY129" s="66">
        <f t="shared" si="562"/>
        <v>0</v>
      </c>
      <c r="GZ129" s="717"/>
      <c r="HA129" s="716"/>
      <c r="HB129" s="701" t="str">
        <f t="shared" si="588"/>
        <v/>
      </c>
      <c r="HC129" s="66">
        <f t="shared" si="563"/>
        <v>0</v>
      </c>
      <c r="HD129" s="717"/>
      <c r="HE129" s="716"/>
      <c r="HF129" s="701" t="str">
        <f t="shared" si="589"/>
        <v/>
      </c>
      <c r="HG129" s="66">
        <f t="shared" si="564"/>
        <v>0</v>
      </c>
      <c r="HH129" s="717"/>
      <c r="HI129" s="716"/>
      <c r="HJ129" s="701" t="str">
        <f t="shared" si="590"/>
        <v/>
      </c>
      <c r="HK129" s="66">
        <f t="shared" si="565"/>
        <v>0</v>
      </c>
      <c r="HL129" s="717"/>
      <c r="HM129" s="716"/>
      <c r="HN129" s="701" t="str">
        <f t="shared" si="591"/>
        <v/>
      </c>
      <c r="HO129" s="66">
        <f t="shared" si="566"/>
        <v>0</v>
      </c>
      <c r="HP129" s="717"/>
      <c r="HQ129" s="716"/>
      <c r="HR129" s="701" t="str">
        <f t="shared" si="592"/>
        <v/>
      </c>
      <c r="HS129" s="66">
        <f t="shared" si="567"/>
        <v>0</v>
      </c>
      <c r="HT129" s="717"/>
      <c r="HU129" s="716"/>
      <c r="HV129" s="701" t="str">
        <f t="shared" si="593"/>
        <v/>
      </c>
      <c r="HW129" s="66">
        <f t="shared" si="568"/>
        <v>0</v>
      </c>
      <c r="HX129" s="717"/>
      <c r="HY129" s="716"/>
      <c r="HZ129" s="701" t="str">
        <f t="shared" si="594"/>
        <v/>
      </c>
      <c r="IA129" s="66">
        <f t="shared" si="569"/>
        <v>0</v>
      </c>
      <c r="IB129" s="717"/>
      <c r="IC129" s="716"/>
      <c r="ID129" s="701" t="str">
        <f t="shared" si="595"/>
        <v/>
      </c>
      <c r="IE129" s="66">
        <f t="shared" si="570"/>
        <v>0</v>
      </c>
      <c r="IF129" s="717"/>
      <c r="IG129" s="716"/>
      <c r="IH129" s="701" t="str">
        <f t="shared" si="596"/>
        <v/>
      </c>
      <c r="II129" s="66">
        <f t="shared" si="571"/>
        <v>0</v>
      </c>
      <c r="IJ129" s="717"/>
      <c r="IK129" s="716"/>
      <c r="IL129" s="701" t="str">
        <f t="shared" si="597"/>
        <v/>
      </c>
      <c r="IM129" s="66">
        <f t="shared" si="572"/>
        <v>0</v>
      </c>
      <c r="IN129" s="717"/>
      <c r="IO129" s="716"/>
      <c r="IP129" s="701" t="str">
        <f t="shared" si="598"/>
        <v/>
      </c>
      <c r="IQ129" s="66">
        <f t="shared" si="573"/>
        <v>0</v>
      </c>
      <c r="IR129" s="717"/>
      <c r="IS129" s="716"/>
      <c r="IT129" s="701" t="str">
        <f t="shared" si="599"/>
        <v/>
      </c>
      <c r="IU129" s="66">
        <f t="shared" si="574"/>
        <v>0</v>
      </c>
      <c r="IV129" s="717"/>
      <c r="IW129" s="716"/>
      <c r="IX129" s="701" t="str">
        <f t="shared" si="600"/>
        <v/>
      </c>
      <c r="IY129" s="66">
        <f t="shared" si="575"/>
        <v>0</v>
      </c>
    </row>
    <row r="130" spans="42:259" ht="13.3" thickTop="1" thickBot="1" x14ac:dyDescent="0.35">
      <c r="AR130" s="1"/>
      <c r="AT130" s="1380">
        <f>IFERROR(IF(AND(OR(AX130=1,AY130=0),OR(AV130&lt;=$AU$7,AV130&gt;$AU$6,AV130-AW130=$AU$7,AV130-AW130=0)),1,LOOKUP(ABS(MAX((AV130-AW130),AY130)),$BB$85:$BB$93,$BG$85:$BG$93)),0)</f>
        <v>1</v>
      </c>
      <c r="AU130" s="1222">
        <f>IF(AND(OR(AX130=1,AY130=0),OR(AV130&lt;=$AU$7,AV130&gt;$AU$6,AV130-AW130=$AU$7,AV130-AW130=0)),1,ABS(MAX((AV130-AW130),AY130)/$AU$7))</f>
        <v>1</v>
      </c>
      <c r="AV130" s="1219">
        <f>H25</f>
        <v>0</v>
      </c>
      <c r="AW130" s="1384">
        <f t="shared" ref="AW130:AW154" si="648">IF(FJ54="",0,LOOKUP(FJ54,$DN$25:$DN$49,$H$25:$H$49))</f>
        <v>0</v>
      </c>
      <c r="AX130" s="1220">
        <f t="shared" ref="AX130:AX154" si="649">IF(OR($AU$6-H25&lt;0,$AU$6-H25=0,H25&lt;=$AU$7,$AU$7-H25=0,2*$AU$7-H25=0,3*$AU$7-H25=0,4*$AU$7-H25=0,5*$AU$7-H25=0,6*$AU$7-H25=0,7*$AU$7-H25=0,8*$AU$7-H25=0,9*$AU$7-H25=0,10*$AU$7-H25=0),1,"")</f>
        <v>1</v>
      </c>
      <c r="AY130" s="2">
        <f>MIN(AZ130:BI130)</f>
        <v>5</v>
      </c>
      <c r="AZ130" s="2">
        <f>IF($AU$7*AZ$129-$H25&lt;-$AU$7,$AU$7,$AU$7*AZ$129-$H25)</f>
        <v>5</v>
      </c>
      <c r="BA130" s="2">
        <f t="shared" ref="BA130:BI130" si="650">IF($AU$7*BA$129-$H25&lt;-$AU$7,$AU$7,$AU$7*BA$129-$H25)</f>
        <v>10</v>
      </c>
      <c r="BB130" s="2">
        <f t="shared" si="650"/>
        <v>15</v>
      </c>
      <c r="BC130" s="2">
        <f t="shared" si="650"/>
        <v>20</v>
      </c>
      <c r="BD130" s="2">
        <f t="shared" si="650"/>
        <v>25</v>
      </c>
      <c r="BE130" s="2">
        <f t="shared" si="650"/>
        <v>30</v>
      </c>
      <c r="BF130" s="2">
        <f t="shared" si="650"/>
        <v>35</v>
      </c>
      <c r="BG130" s="2">
        <f t="shared" si="650"/>
        <v>40</v>
      </c>
      <c r="BH130" s="2">
        <f t="shared" si="650"/>
        <v>45</v>
      </c>
      <c r="BI130" s="2">
        <f t="shared" si="650"/>
        <v>50</v>
      </c>
      <c r="BJ130" s="2">
        <v>1</v>
      </c>
      <c r="BK130" s="1488">
        <f t="shared" si="620"/>
        <v>1</v>
      </c>
      <c r="BL130" s="827">
        <f t="shared" si="601"/>
        <v>0</v>
      </c>
      <c r="BM130" s="216">
        <f t="shared" si="621"/>
        <v>0</v>
      </c>
      <c r="BN130" s="216">
        <f t="shared" si="602"/>
        <v>0</v>
      </c>
      <c r="BO130" s="216">
        <f t="shared" si="603"/>
        <v>0</v>
      </c>
      <c r="BP130" s="216">
        <f t="shared" si="604"/>
        <v>0</v>
      </c>
      <c r="BQ130" s="216">
        <f t="shared" si="605"/>
        <v>0</v>
      </c>
      <c r="BR130" s="216">
        <f t="shared" si="606"/>
        <v>0</v>
      </c>
      <c r="BS130" s="216">
        <f t="shared" si="607"/>
        <v>0</v>
      </c>
      <c r="BT130" s="216">
        <f t="shared" si="608"/>
        <v>0</v>
      </c>
      <c r="BU130" s="827">
        <f t="shared" si="622"/>
        <v>0</v>
      </c>
      <c r="BV130" s="828">
        <f t="shared" si="609"/>
        <v>0</v>
      </c>
      <c r="BW130" s="828">
        <f t="shared" si="610"/>
        <v>0</v>
      </c>
      <c r="BX130" s="1">
        <f t="shared" si="611"/>
        <v>0</v>
      </c>
      <c r="BY130" s="1">
        <f t="shared" si="623"/>
        <v>0</v>
      </c>
      <c r="BZ130" s="827">
        <f t="shared" si="624"/>
        <v>0</v>
      </c>
      <c r="CA130" s="1">
        <f t="shared" si="612"/>
        <v>0</v>
      </c>
      <c r="CB130" s="1">
        <f t="shared" si="625"/>
        <v>0</v>
      </c>
      <c r="CC130" s="827">
        <f t="shared" si="626"/>
        <v>0</v>
      </c>
      <c r="CD130" s="1">
        <f t="shared" si="613"/>
        <v>0</v>
      </c>
      <c r="CE130" s="1">
        <f t="shared" si="627"/>
        <v>0</v>
      </c>
      <c r="CF130" s="827">
        <f t="shared" si="628"/>
        <v>0</v>
      </c>
      <c r="CG130" s="1">
        <f t="shared" si="614"/>
        <v>0</v>
      </c>
      <c r="CH130" s="1">
        <f t="shared" si="629"/>
        <v>0</v>
      </c>
      <c r="CI130" s="827">
        <f t="shared" si="630"/>
        <v>0</v>
      </c>
      <c r="CJ130" s="1">
        <f t="shared" si="615"/>
        <v>0</v>
      </c>
      <c r="CK130" s="1">
        <f t="shared" si="631"/>
        <v>0</v>
      </c>
      <c r="CL130" s="827">
        <f t="shared" si="632"/>
        <v>0</v>
      </c>
      <c r="CM130" s="1">
        <f t="shared" si="616"/>
        <v>0</v>
      </c>
      <c r="CN130" s="1">
        <f t="shared" si="633"/>
        <v>0</v>
      </c>
      <c r="CO130" s="827">
        <f t="shared" si="634"/>
        <v>0</v>
      </c>
      <c r="CP130" s="1">
        <f t="shared" si="617"/>
        <v>0</v>
      </c>
      <c r="CQ130" s="1">
        <f t="shared" si="635"/>
        <v>0</v>
      </c>
      <c r="CR130" s="827">
        <f t="shared" si="636"/>
        <v>0</v>
      </c>
      <c r="CS130" s="1">
        <f t="shared" si="618"/>
        <v>0</v>
      </c>
      <c r="CT130" s="1">
        <f t="shared" si="637"/>
        <v>0</v>
      </c>
      <c r="CU130" s="827">
        <f t="shared" si="638"/>
        <v>0</v>
      </c>
      <c r="EA130" s="33"/>
      <c r="EL130" s="522" t="str">
        <f t="shared" si="543"/>
        <v/>
      </c>
      <c r="EM130" s="17">
        <f t="shared" si="544"/>
        <v>0</v>
      </c>
      <c r="EN130" s="665">
        <f t="shared" si="576"/>
        <v>0</v>
      </c>
      <c r="EO130" s="665">
        <f t="shared" si="545"/>
        <v>0</v>
      </c>
      <c r="EP130" s="458">
        <f t="shared" si="546"/>
        <v>1</v>
      </c>
      <c r="EQ130" s="33"/>
      <c r="ER130" s="33"/>
      <c r="ES130" s="33"/>
      <c r="ET130" s="33"/>
      <c r="EU130" s="33"/>
      <c r="EV130" s="33"/>
      <c r="EW130" s="33"/>
      <c r="EX130" s="33"/>
      <c r="EY130" s="33">
        <v>19</v>
      </c>
      <c r="FD130" s="276" t="str">
        <f t="shared" si="547"/>
        <v/>
      </c>
      <c r="FE130" s="18">
        <f t="shared" si="548"/>
        <v>0</v>
      </c>
      <c r="FF130" s="275" t="str">
        <f t="shared" si="549"/>
        <v/>
      </c>
      <c r="FG130" s="145" t="str">
        <f t="shared" si="550"/>
        <v/>
      </c>
      <c r="FH130" s="19">
        <f t="shared" si="551"/>
        <v>0</v>
      </c>
      <c r="FI130" s="718"/>
      <c r="FJ130" s="701" t="str">
        <f t="shared" si="577"/>
        <v/>
      </c>
      <c r="FK130" s="66">
        <f t="shared" si="552"/>
        <v>0</v>
      </c>
      <c r="FL130" s="717"/>
      <c r="FM130" s="716"/>
      <c r="FN130" s="701" t="str">
        <f t="shared" si="578"/>
        <v/>
      </c>
      <c r="FO130" s="66">
        <f t="shared" si="553"/>
        <v>0</v>
      </c>
      <c r="FP130" s="717"/>
      <c r="FQ130" s="716"/>
      <c r="FR130" s="701" t="str">
        <f t="shared" si="579"/>
        <v/>
      </c>
      <c r="FS130" s="66">
        <f t="shared" si="554"/>
        <v>0</v>
      </c>
      <c r="FT130" s="717"/>
      <c r="FU130" s="716"/>
      <c r="FV130" s="701" t="str">
        <f t="shared" si="580"/>
        <v/>
      </c>
      <c r="FW130" s="66">
        <f t="shared" si="555"/>
        <v>0</v>
      </c>
      <c r="FX130" s="717"/>
      <c r="FY130" s="716"/>
      <c r="FZ130" s="701" t="str">
        <f t="shared" si="581"/>
        <v/>
      </c>
      <c r="GA130" s="66">
        <f t="shared" si="556"/>
        <v>0</v>
      </c>
      <c r="GB130" s="717"/>
      <c r="GC130" s="716"/>
      <c r="GD130" s="701" t="str">
        <f t="shared" si="582"/>
        <v/>
      </c>
      <c r="GE130" s="66">
        <f t="shared" si="557"/>
        <v>0</v>
      </c>
      <c r="GF130" s="717"/>
      <c r="GG130" s="716"/>
      <c r="GH130" s="701" t="str">
        <f t="shared" si="583"/>
        <v/>
      </c>
      <c r="GI130" s="66">
        <f t="shared" si="558"/>
        <v>0</v>
      </c>
      <c r="GJ130" s="717"/>
      <c r="GK130" s="716"/>
      <c r="GL130" s="701" t="str">
        <f t="shared" si="584"/>
        <v/>
      </c>
      <c r="GM130" s="66">
        <f t="shared" si="559"/>
        <v>0</v>
      </c>
      <c r="GN130" s="717"/>
      <c r="GO130" s="716"/>
      <c r="GP130" s="701" t="str">
        <f t="shared" si="585"/>
        <v/>
      </c>
      <c r="GQ130" s="66">
        <f t="shared" si="560"/>
        <v>0</v>
      </c>
      <c r="GR130" s="717"/>
      <c r="GS130" s="716"/>
      <c r="GT130" s="701" t="str">
        <f t="shared" si="586"/>
        <v/>
      </c>
      <c r="GU130" s="66">
        <f t="shared" si="561"/>
        <v>0</v>
      </c>
      <c r="GV130" s="717"/>
      <c r="GW130" s="716"/>
      <c r="GX130" s="701" t="str">
        <f t="shared" si="587"/>
        <v/>
      </c>
      <c r="GY130" s="66">
        <f t="shared" si="562"/>
        <v>0</v>
      </c>
      <c r="GZ130" s="717"/>
      <c r="HA130" s="716"/>
      <c r="HB130" s="701" t="str">
        <f t="shared" si="588"/>
        <v/>
      </c>
      <c r="HC130" s="66">
        <f t="shared" si="563"/>
        <v>0</v>
      </c>
      <c r="HD130" s="717"/>
      <c r="HE130" s="716"/>
      <c r="HF130" s="701" t="str">
        <f t="shared" si="589"/>
        <v/>
      </c>
      <c r="HG130" s="66">
        <f t="shared" si="564"/>
        <v>0</v>
      </c>
      <c r="HH130" s="717"/>
      <c r="HI130" s="716"/>
      <c r="HJ130" s="701" t="str">
        <f t="shared" si="590"/>
        <v/>
      </c>
      <c r="HK130" s="66">
        <f t="shared" si="565"/>
        <v>0</v>
      </c>
      <c r="HL130" s="717"/>
      <c r="HM130" s="716"/>
      <c r="HN130" s="701" t="str">
        <f t="shared" si="591"/>
        <v/>
      </c>
      <c r="HO130" s="66">
        <f t="shared" si="566"/>
        <v>0</v>
      </c>
      <c r="HP130" s="717"/>
      <c r="HQ130" s="716"/>
      <c r="HR130" s="701" t="str">
        <f t="shared" si="592"/>
        <v/>
      </c>
      <c r="HS130" s="66">
        <f t="shared" si="567"/>
        <v>0</v>
      </c>
      <c r="HT130" s="717"/>
      <c r="HU130" s="716"/>
      <c r="HV130" s="701" t="str">
        <f t="shared" si="593"/>
        <v/>
      </c>
      <c r="HW130" s="66">
        <f t="shared" si="568"/>
        <v>0</v>
      </c>
      <c r="HX130" s="717"/>
      <c r="HY130" s="716"/>
      <c r="HZ130" s="701" t="str">
        <f t="shared" si="594"/>
        <v/>
      </c>
      <c r="IA130" s="66">
        <f t="shared" si="569"/>
        <v>0</v>
      </c>
      <c r="IB130" s="717"/>
      <c r="IC130" s="716"/>
      <c r="ID130" s="701" t="str">
        <f t="shared" si="595"/>
        <v/>
      </c>
      <c r="IE130" s="66">
        <f t="shared" si="570"/>
        <v>0</v>
      </c>
      <c r="IF130" s="717"/>
      <c r="IG130" s="716"/>
      <c r="IH130" s="701" t="str">
        <f t="shared" si="596"/>
        <v/>
      </c>
      <c r="II130" s="66">
        <f t="shared" si="571"/>
        <v>0</v>
      </c>
      <c r="IJ130" s="717"/>
      <c r="IK130" s="716"/>
      <c r="IL130" s="701" t="str">
        <f t="shared" si="597"/>
        <v/>
      </c>
      <c r="IM130" s="66">
        <f t="shared" si="572"/>
        <v>0</v>
      </c>
      <c r="IN130" s="717"/>
      <c r="IO130" s="716"/>
      <c r="IP130" s="701" t="str">
        <f t="shared" si="598"/>
        <v/>
      </c>
      <c r="IQ130" s="66">
        <f t="shared" si="573"/>
        <v>0</v>
      </c>
      <c r="IR130" s="717"/>
      <c r="IS130" s="716"/>
      <c r="IT130" s="701" t="str">
        <f t="shared" si="599"/>
        <v/>
      </c>
      <c r="IU130" s="66">
        <f t="shared" si="574"/>
        <v>0</v>
      </c>
      <c r="IV130" s="717"/>
      <c r="IW130" s="716"/>
      <c r="IX130" s="701" t="str">
        <f t="shared" si="600"/>
        <v/>
      </c>
      <c r="IY130" s="66">
        <f t="shared" si="575"/>
        <v>0</v>
      </c>
    </row>
    <row r="131" spans="42:259" ht="13.3" thickTop="1" thickBot="1" x14ac:dyDescent="0.35">
      <c r="AR131" s="1"/>
      <c r="AT131" s="1380">
        <f>IFERROR(IF(AND(OR(AX131=1,AY131=0),OR(AV131&lt;=$AU$7,AV131&gt;$AU$6,AV131-AW131=$AU$7,AV131-AW131=0)),1,LOOKUP(ABS(MAX((AV131-AW131),AY131)),$BB$85:$BB$93,$BG$85:$BG$93)),0)</f>
        <v>1</v>
      </c>
      <c r="AU131" s="1222">
        <f t="shared" ref="AU131:AU154" si="651">IF(AND(OR(AX131=1,AY131=0),OR(AV131&lt;=$AU$7,AV131&gt;$AU$6,AV131-AW131=$AU$7,AV131-AW131=0)),1,ABS(MAX((AV131-AW131),AY131)/$AU$7))</f>
        <v>1</v>
      </c>
      <c r="AV131" s="1219">
        <f t="shared" ref="AV131:AV154" si="652">H26</f>
        <v>0</v>
      </c>
      <c r="AW131" s="1384">
        <f t="shared" si="648"/>
        <v>0</v>
      </c>
      <c r="AX131" s="1220">
        <f t="shared" si="649"/>
        <v>1</v>
      </c>
      <c r="AY131" s="2">
        <f t="shared" ref="AY131:AY154" si="653">MIN(AZ131:BI131)</f>
        <v>5</v>
      </c>
      <c r="AZ131" s="2">
        <f t="shared" ref="AZ131:BI131" si="654">IF($AU$7*AZ$129-$H26&lt;-$AU$7,$AU$7,$AU$7*AZ$129-$H26)</f>
        <v>5</v>
      </c>
      <c r="BA131" s="2">
        <f t="shared" si="654"/>
        <v>10</v>
      </c>
      <c r="BB131" s="2">
        <f t="shared" si="654"/>
        <v>15</v>
      </c>
      <c r="BC131" s="2">
        <f t="shared" si="654"/>
        <v>20</v>
      </c>
      <c r="BD131" s="2">
        <f t="shared" si="654"/>
        <v>25</v>
      </c>
      <c r="BE131" s="2">
        <f t="shared" si="654"/>
        <v>30</v>
      </c>
      <c r="BF131" s="2">
        <f t="shared" si="654"/>
        <v>35</v>
      </c>
      <c r="BG131" s="2">
        <f t="shared" si="654"/>
        <v>40</v>
      </c>
      <c r="BH131" s="2">
        <f t="shared" si="654"/>
        <v>45</v>
      </c>
      <c r="BI131" s="2">
        <f t="shared" si="654"/>
        <v>50</v>
      </c>
      <c r="BJ131" s="2">
        <v>2</v>
      </c>
      <c r="BK131" s="1488">
        <f t="shared" si="620"/>
        <v>1</v>
      </c>
      <c r="BL131" s="827">
        <f t="shared" si="601"/>
        <v>0</v>
      </c>
      <c r="BM131" s="216">
        <f t="shared" si="621"/>
        <v>0</v>
      </c>
      <c r="BN131" s="216">
        <f t="shared" si="602"/>
        <v>0</v>
      </c>
      <c r="BO131" s="216">
        <f t="shared" si="603"/>
        <v>0</v>
      </c>
      <c r="BP131" s="216">
        <f t="shared" si="604"/>
        <v>0</v>
      </c>
      <c r="BQ131" s="216">
        <f t="shared" si="605"/>
        <v>0</v>
      </c>
      <c r="BR131" s="216">
        <f t="shared" si="606"/>
        <v>0</v>
      </c>
      <c r="BS131" s="216">
        <f t="shared" si="607"/>
        <v>0</v>
      </c>
      <c r="BT131" s="216">
        <f t="shared" si="608"/>
        <v>0</v>
      </c>
      <c r="BU131" s="827">
        <f t="shared" si="622"/>
        <v>0</v>
      </c>
      <c r="BV131" s="828">
        <f t="shared" si="609"/>
        <v>0</v>
      </c>
      <c r="BW131" s="828">
        <f t="shared" si="610"/>
        <v>0</v>
      </c>
      <c r="BX131" s="1">
        <f t="shared" si="611"/>
        <v>0</v>
      </c>
      <c r="BY131" s="1">
        <f t="shared" si="623"/>
        <v>0</v>
      </c>
      <c r="BZ131" s="827">
        <f t="shared" si="624"/>
        <v>0</v>
      </c>
      <c r="CA131" s="1">
        <f t="shared" si="612"/>
        <v>0</v>
      </c>
      <c r="CB131" s="1">
        <f t="shared" si="625"/>
        <v>0</v>
      </c>
      <c r="CC131" s="827">
        <f t="shared" si="626"/>
        <v>0</v>
      </c>
      <c r="CD131" s="1">
        <f t="shared" si="613"/>
        <v>0</v>
      </c>
      <c r="CE131" s="1">
        <f t="shared" si="627"/>
        <v>0</v>
      </c>
      <c r="CF131" s="827">
        <f t="shared" si="628"/>
        <v>0</v>
      </c>
      <c r="CG131" s="1">
        <f t="shared" si="614"/>
        <v>0</v>
      </c>
      <c r="CH131" s="1">
        <f t="shared" si="629"/>
        <v>0</v>
      </c>
      <c r="CI131" s="827">
        <f t="shared" si="630"/>
        <v>0</v>
      </c>
      <c r="CJ131" s="1">
        <f t="shared" si="615"/>
        <v>0</v>
      </c>
      <c r="CK131" s="1">
        <f t="shared" si="631"/>
        <v>0</v>
      </c>
      <c r="CL131" s="827">
        <f t="shared" si="632"/>
        <v>0</v>
      </c>
      <c r="CM131" s="1">
        <f t="shared" si="616"/>
        <v>0</v>
      </c>
      <c r="CN131" s="1">
        <f t="shared" si="633"/>
        <v>0</v>
      </c>
      <c r="CO131" s="827">
        <f t="shared" si="634"/>
        <v>0</v>
      </c>
      <c r="CP131" s="1">
        <f t="shared" si="617"/>
        <v>0</v>
      </c>
      <c r="CQ131" s="1">
        <f t="shared" si="635"/>
        <v>0</v>
      </c>
      <c r="CR131" s="827">
        <f t="shared" si="636"/>
        <v>0</v>
      </c>
      <c r="CS131" s="1">
        <f t="shared" si="618"/>
        <v>0</v>
      </c>
      <c r="CT131" s="1">
        <f t="shared" si="637"/>
        <v>0</v>
      </c>
      <c r="CU131" s="827">
        <f t="shared" si="638"/>
        <v>0</v>
      </c>
      <c r="EA131" s="33"/>
      <c r="EL131" s="522" t="str">
        <f t="shared" si="543"/>
        <v/>
      </c>
      <c r="EM131" s="17">
        <f t="shared" si="544"/>
        <v>0</v>
      </c>
      <c r="EN131" s="665">
        <f t="shared" si="576"/>
        <v>0</v>
      </c>
      <c r="EO131" s="665">
        <f t="shared" si="545"/>
        <v>0</v>
      </c>
      <c r="EP131" s="458">
        <f t="shared" si="546"/>
        <v>1</v>
      </c>
      <c r="EQ131" s="33"/>
      <c r="ER131" s="33"/>
      <c r="ES131" s="33"/>
      <c r="ET131" s="33"/>
      <c r="EU131" s="33"/>
      <c r="EV131" s="33"/>
      <c r="EW131" s="33"/>
      <c r="EX131" s="33"/>
      <c r="EY131" s="33">
        <v>20</v>
      </c>
      <c r="FD131" s="276" t="str">
        <f t="shared" si="547"/>
        <v/>
      </c>
      <c r="FE131" s="18">
        <f t="shared" si="548"/>
        <v>0</v>
      </c>
      <c r="FF131" s="275" t="str">
        <f t="shared" si="549"/>
        <v/>
      </c>
      <c r="FG131" s="145" t="str">
        <f t="shared" si="550"/>
        <v/>
      </c>
      <c r="FH131" s="19">
        <f t="shared" si="551"/>
        <v>0</v>
      </c>
      <c r="FI131" s="718"/>
      <c r="FJ131" s="701" t="str">
        <f t="shared" si="577"/>
        <v/>
      </c>
      <c r="FK131" s="66">
        <f t="shared" si="552"/>
        <v>0</v>
      </c>
      <c r="FL131" s="717"/>
      <c r="FM131" s="716"/>
      <c r="FN131" s="701" t="str">
        <f t="shared" si="578"/>
        <v/>
      </c>
      <c r="FO131" s="66">
        <f t="shared" si="553"/>
        <v>0</v>
      </c>
      <c r="FP131" s="717"/>
      <c r="FQ131" s="716"/>
      <c r="FR131" s="701" t="str">
        <f t="shared" si="579"/>
        <v/>
      </c>
      <c r="FS131" s="66">
        <f t="shared" si="554"/>
        <v>0</v>
      </c>
      <c r="FT131" s="717"/>
      <c r="FU131" s="716"/>
      <c r="FV131" s="701" t="str">
        <f t="shared" si="580"/>
        <v/>
      </c>
      <c r="FW131" s="66">
        <f t="shared" si="555"/>
        <v>0</v>
      </c>
      <c r="FX131" s="717"/>
      <c r="FY131" s="716"/>
      <c r="FZ131" s="701" t="str">
        <f t="shared" si="581"/>
        <v/>
      </c>
      <c r="GA131" s="66">
        <f t="shared" si="556"/>
        <v>0</v>
      </c>
      <c r="GB131" s="717"/>
      <c r="GC131" s="716"/>
      <c r="GD131" s="701" t="str">
        <f t="shared" si="582"/>
        <v/>
      </c>
      <c r="GE131" s="66">
        <f t="shared" si="557"/>
        <v>0</v>
      </c>
      <c r="GF131" s="717"/>
      <c r="GG131" s="716"/>
      <c r="GH131" s="701" t="str">
        <f t="shared" si="583"/>
        <v/>
      </c>
      <c r="GI131" s="66">
        <f t="shared" si="558"/>
        <v>0</v>
      </c>
      <c r="GJ131" s="717"/>
      <c r="GK131" s="716"/>
      <c r="GL131" s="701" t="str">
        <f t="shared" si="584"/>
        <v/>
      </c>
      <c r="GM131" s="66">
        <f t="shared" si="559"/>
        <v>0</v>
      </c>
      <c r="GN131" s="717"/>
      <c r="GO131" s="716"/>
      <c r="GP131" s="701" t="str">
        <f t="shared" si="585"/>
        <v/>
      </c>
      <c r="GQ131" s="66">
        <f t="shared" si="560"/>
        <v>0</v>
      </c>
      <c r="GR131" s="717"/>
      <c r="GS131" s="716"/>
      <c r="GT131" s="701" t="str">
        <f t="shared" si="586"/>
        <v/>
      </c>
      <c r="GU131" s="66">
        <f t="shared" si="561"/>
        <v>0</v>
      </c>
      <c r="GV131" s="717"/>
      <c r="GW131" s="716"/>
      <c r="GX131" s="701" t="str">
        <f t="shared" si="587"/>
        <v/>
      </c>
      <c r="GY131" s="66">
        <f t="shared" si="562"/>
        <v>0</v>
      </c>
      <c r="GZ131" s="717"/>
      <c r="HA131" s="716"/>
      <c r="HB131" s="701" t="str">
        <f t="shared" si="588"/>
        <v/>
      </c>
      <c r="HC131" s="66">
        <f t="shared" si="563"/>
        <v>0</v>
      </c>
      <c r="HD131" s="717"/>
      <c r="HE131" s="716"/>
      <c r="HF131" s="701" t="str">
        <f t="shared" si="589"/>
        <v/>
      </c>
      <c r="HG131" s="66">
        <f t="shared" si="564"/>
        <v>0</v>
      </c>
      <c r="HH131" s="717"/>
      <c r="HI131" s="716"/>
      <c r="HJ131" s="701" t="str">
        <f t="shared" si="590"/>
        <v/>
      </c>
      <c r="HK131" s="66">
        <f t="shared" si="565"/>
        <v>0</v>
      </c>
      <c r="HL131" s="717"/>
      <c r="HM131" s="716"/>
      <c r="HN131" s="701" t="str">
        <f t="shared" si="591"/>
        <v/>
      </c>
      <c r="HO131" s="66">
        <f t="shared" si="566"/>
        <v>0</v>
      </c>
      <c r="HP131" s="717"/>
      <c r="HQ131" s="716"/>
      <c r="HR131" s="701" t="str">
        <f t="shared" si="592"/>
        <v/>
      </c>
      <c r="HS131" s="66">
        <f t="shared" si="567"/>
        <v>0</v>
      </c>
      <c r="HT131" s="717"/>
      <c r="HU131" s="716"/>
      <c r="HV131" s="701" t="str">
        <f t="shared" si="593"/>
        <v/>
      </c>
      <c r="HW131" s="66">
        <f t="shared" si="568"/>
        <v>0</v>
      </c>
      <c r="HX131" s="717"/>
      <c r="HY131" s="716"/>
      <c r="HZ131" s="701" t="str">
        <f t="shared" si="594"/>
        <v/>
      </c>
      <c r="IA131" s="66">
        <f t="shared" si="569"/>
        <v>0</v>
      </c>
      <c r="IB131" s="717"/>
      <c r="IC131" s="716"/>
      <c r="ID131" s="701" t="str">
        <f t="shared" si="595"/>
        <v/>
      </c>
      <c r="IE131" s="66">
        <f t="shared" si="570"/>
        <v>0</v>
      </c>
      <c r="IF131" s="717"/>
      <c r="IG131" s="716"/>
      <c r="IH131" s="701" t="str">
        <f t="shared" si="596"/>
        <v/>
      </c>
      <c r="II131" s="66">
        <f t="shared" si="571"/>
        <v>0</v>
      </c>
      <c r="IJ131" s="717"/>
      <c r="IK131" s="716"/>
      <c r="IL131" s="701" t="str">
        <f t="shared" si="597"/>
        <v/>
      </c>
      <c r="IM131" s="66">
        <f t="shared" si="572"/>
        <v>0</v>
      </c>
      <c r="IN131" s="717"/>
      <c r="IO131" s="716"/>
      <c r="IP131" s="701" t="str">
        <f t="shared" si="598"/>
        <v/>
      </c>
      <c r="IQ131" s="66">
        <f t="shared" si="573"/>
        <v>0</v>
      </c>
      <c r="IR131" s="717"/>
      <c r="IS131" s="716"/>
      <c r="IT131" s="701" t="str">
        <f t="shared" si="599"/>
        <v/>
      </c>
      <c r="IU131" s="66">
        <f t="shared" si="574"/>
        <v>0</v>
      </c>
      <c r="IV131" s="717"/>
      <c r="IW131" s="716"/>
      <c r="IX131" s="701" t="str">
        <f t="shared" si="600"/>
        <v/>
      </c>
      <c r="IY131" s="66">
        <f t="shared" si="575"/>
        <v>0</v>
      </c>
    </row>
    <row r="132" spans="42:259" ht="13.3" thickTop="1" thickBot="1" x14ac:dyDescent="0.35">
      <c r="AR132" s="1"/>
      <c r="AT132" s="1380">
        <f>IFERROR(IF(AND(OR(AX132=1,AY132=0),OR(AV132&lt;=$AU$7,AV132&gt;$AU$6,AV132-AW132=$AU$7,AV132-AW132=0)),1,LOOKUP(ABS(MAX((AV132-AW132),AY132)),$BB$85:$BB$93,$BG$85:$BG$93)),0)</f>
        <v>1</v>
      </c>
      <c r="AU132" s="1222">
        <f t="shared" si="651"/>
        <v>1</v>
      </c>
      <c r="AV132" s="1219">
        <f t="shared" si="652"/>
        <v>0</v>
      </c>
      <c r="AW132" s="1384">
        <f t="shared" si="648"/>
        <v>0</v>
      </c>
      <c r="AX132" s="1220">
        <f>IF(OR($AU$6-H27&lt;0,$AU$6-H27=0,H27&lt;=$AU$7,$AU$7-H27=0,2*$AU$7-H27=0,3*$AU$7-H27=0,4*$AU$7-H27=0,5*$AU$7-H27=0,6*$AU$7-H27=0,7*$AU$7-H27=0,8*$AU$7-H27=0,9*$AU$7-H27=0,10*$AU$7-H27=0),1,"")</f>
        <v>1</v>
      </c>
      <c r="AY132" s="2">
        <f t="shared" si="653"/>
        <v>5</v>
      </c>
      <c r="AZ132" s="2">
        <f t="shared" ref="AZ132:BI132" si="655">IF($AU$7*AZ$129-$H27&lt;-$AU$7,$AU$7,$AU$7*AZ$129-$H27)</f>
        <v>5</v>
      </c>
      <c r="BA132" s="2">
        <f t="shared" si="655"/>
        <v>10</v>
      </c>
      <c r="BB132" s="2">
        <f t="shared" si="655"/>
        <v>15</v>
      </c>
      <c r="BC132" s="2">
        <f t="shared" si="655"/>
        <v>20</v>
      </c>
      <c r="BD132" s="2">
        <f t="shared" si="655"/>
        <v>25</v>
      </c>
      <c r="BE132" s="2">
        <f t="shared" si="655"/>
        <v>30</v>
      </c>
      <c r="BF132" s="2">
        <f t="shared" si="655"/>
        <v>35</v>
      </c>
      <c r="BG132" s="2">
        <f t="shared" si="655"/>
        <v>40</v>
      </c>
      <c r="BH132" s="2">
        <f t="shared" si="655"/>
        <v>45</v>
      </c>
      <c r="BI132" s="2">
        <f t="shared" si="655"/>
        <v>50</v>
      </c>
      <c r="BJ132" s="2">
        <v>3</v>
      </c>
      <c r="BK132" s="1488">
        <f t="shared" si="620"/>
        <v>1</v>
      </c>
      <c r="BL132" s="827">
        <f t="shared" si="601"/>
        <v>0</v>
      </c>
      <c r="BM132" s="216">
        <f t="shared" si="621"/>
        <v>0</v>
      </c>
      <c r="BN132" s="216">
        <f t="shared" si="602"/>
        <v>0</v>
      </c>
      <c r="BO132" s="216">
        <f t="shared" si="603"/>
        <v>0</v>
      </c>
      <c r="BP132" s="216">
        <f t="shared" si="604"/>
        <v>0</v>
      </c>
      <c r="BQ132" s="216">
        <f t="shared" si="605"/>
        <v>0</v>
      </c>
      <c r="BR132" s="216">
        <f t="shared" si="606"/>
        <v>0</v>
      </c>
      <c r="BS132" s="216">
        <f t="shared" si="607"/>
        <v>0</v>
      </c>
      <c r="BT132" s="216">
        <f t="shared" si="608"/>
        <v>0</v>
      </c>
      <c r="BU132" s="827">
        <f t="shared" si="622"/>
        <v>0</v>
      </c>
      <c r="BV132" s="828">
        <f t="shared" si="609"/>
        <v>0</v>
      </c>
      <c r="BW132" s="828">
        <f t="shared" si="610"/>
        <v>0</v>
      </c>
      <c r="BX132" s="1">
        <f t="shared" si="611"/>
        <v>0</v>
      </c>
      <c r="BY132" s="1">
        <f t="shared" si="623"/>
        <v>0</v>
      </c>
      <c r="BZ132" s="827">
        <f t="shared" si="624"/>
        <v>0</v>
      </c>
      <c r="CA132" s="1">
        <f t="shared" si="612"/>
        <v>0</v>
      </c>
      <c r="CB132" s="1">
        <f t="shared" si="625"/>
        <v>0</v>
      </c>
      <c r="CC132" s="827">
        <f t="shared" si="626"/>
        <v>0</v>
      </c>
      <c r="CD132" s="1">
        <f t="shared" si="613"/>
        <v>0</v>
      </c>
      <c r="CE132" s="1">
        <f t="shared" si="627"/>
        <v>0</v>
      </c>
      <c r="CF132" s="827">
        <f t="shared" si="628"/>
        <v>0</v>
      </c>
      <c r="CG132" s="1">
        <f t="shared" si="614"/>
        <v>0</v>
      </c>
      <c r="CH132" s="1">
        <f t="shared" si="629"/>
        <v>0</v>
      </c>
      <c r="CI132" s="827">
        <f t="shared" si="630"/>
        <v>0</v>
      </c>
      <c r="CJ132" s="1">
        <f t="shared" si="615"/>
        <v>0</v>
      </c>
      <c r="CK132" s="1">
        <f t="shared" si="631"/>
        <v>0</v>
      </c>
      <c r="CL132" s="827">
        <f t="shared" si="632"/>
        <v>0</v>
      </c>
      <c r="CM132" s="1">
        <f t="shared" si="616"/>
        <v>0</v>
      </c>
      <c r="CN132" s="1">
        <f t="shared" si="633"/>
        <v>0</v>
      </c>
      <c r="CO132" s="827">
        <f t="shared" si="634"/>
        <v>0</v>
      </c>
      <c r="CP132" s="1">
        <f t="shared" si="617"/>
        <v>0</v>
      </c>
      <c r="CQ132" s="1">
        <f t="shared" si="635"/>
        <v>0</v>
      </c>
      <c r="CR132" s="827">
        <f t="shared" si="636"/>
        <v>0</v>
      </c>
      <c r="CS132" s="1">
        <f t="shared" si="618"/>
        <v>0</v>
      </c>
      <c r="CT132" s="1">
        <f t="shared" si="637"/>
        <v>0</v>
      </c>
      <c r="CU132" s="827">
        <f t="shared" si="638"/>
        <v>0</v>
      </c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522" t="str">
        <f t="shared" si="543"/>
        <v/>
      </c>
      <c r="EM132" s="17">
        <f t="shared" si="544"/>
        <v>0</v>
      </c>
      <c r="EN132" s="665">
        <f>EO132*EP132</f>
        <v>0</v>
      </c>
      <c r="EO132" s="665">
        <f t="shared" si="545"/>
        <v>0</v>
      </c>
      <c r="EP132" s="458">
        <f t="shared" si="546"/>
        <v>1</v>
      </c>
      <c r="EQ132" s="33"/>
      <c r="ER132" s="33"/>
      <c r="ES132" s="33"/>
      <c r="ET132" s="33"/>
      <c r="EU132" s="33"/>
      <c r="EV132" s="33"/>
      <c r="EW132" s="33"/>
      <c r="EX132" s="33"/>
      <c r="EY132" s="33">
        <v>21</v>
      </c>
      <c r="FD132" s="276" t="str">
        <f t="shared" si="547"/>
        <v/>
      </c>
      <c r="FE132" s="18">
        <f t="shared" si="548"/>
        <v>0</v>
      </c>
      <c r="FF132" s="275" t="str">
        <f t="shared" si="549"/>
        <v/>
      </c>
      <c r="FG132" s="145" t="str">
        <f t="shared" si="550"/>
        <v/>
      </c>
      <c r="FH132" s="19">
        <f t="shared" si="551"/>
        <v>0</v>
      </c>
      <c r="FJ132" s="701" t="str">
        <f t="shared" si="577"/>
        <v/>
      </c>
      <c r="FK132" s="66">
        <f t="shared" si="552"/>
        <v>0</v>
      </c>
      <c r="FN132" s="701" t="str">
        <f t="shared" si="578"/>
        <v/>
      </c>
      <c r="FO132" s="66">
        <f t="shared" si="553"/>
        <v>0</v>
      </c>
      <c r="FR132" s="701" t="str">
        <f t="shared" si="579"/>
        <v/>
      </c>
      <c r="FS132" s="66">
        <f t="shared" si="554"/>
        <v>0</v>
      </c>
      <c r="FV132" s="701" t="str">
        <f t="shared" si="580"/>
        <v/>
      </c>
      <c r="FW132" s="66">
        <f t="shared" si="555"/>
        <v>0</v>
      </c>
      <c r="FZ132" s="701" t="str">
        <f t="shared" si="581"/>
        <v/>
      </c>
      <c r="GA132" s="66">
        <f t="shared" si="556"/>
        <v>0</v>
      </c>
      <c r="GD132" s="701" t="str">
        <f t="shared" si="582"/>
        <v/>
      </c>
      <c r="GE132" s="66">
        <f t="shared" si="557"/>
        <v>0</v>
      </c>
      <c r="GH132" s="701" t="str">
        <f t="shared" si="583"/>
        <v/>
      </c>
      <c r="GI132" s="66">
        <f t="shared" si="558"/>
        <v>0</v>
      </c>
      <c r="GL132" s="701" t="str">
        <f t="shared" si="584"/>
        <v/>
      </c>
      <c r="GM132" s="66">
        <f t="shared" si="559"/>
        <v>0</v>
      </c>
      <c r="GP132" s="701" t="str">
        <f t="shared" si="585"/>
        <v/>
      </c>
      <c r="GQ132" s="66">
        <f t="shared" si="560"/>
        <v>0</v>
      </c>
      <c r="GT132" s="701" t="str">
        <f t="shared" si="586"/>
        <v/>
      </c>
      <c r="GU132" s="66">
        <f t="shared" si="561"/>
        <v>0</v>
      </c>
      <c r="GX132" s="701" t="str">
        <f t="shared" si="587"/>
        <v/>
      </c>
      <c r="GY132" s="66">
        <f t="shared" si="562"/>
        <v>0</v>
      </c>
      <c r="HB132" s="701" t="str">
        <f t="shared" si="588"/>
        <v/>
      </c>
      <c r="HC132" s="66">
        <f t="shared" si="563"/>
        <v>0</v>
      </c>
      <c r="HF132" s="701" t="str">
        <f t="shared" si="589"/>
        <v/>
      </c>
      <c r="HG132" s="66">
        <f t="shared" si="564"/>
        <v>0</v>
      </c>
      <c r="HJ132" s="701" t="str">
        <f t="shared" si="590"/>
        <v/>
      </c>
      <c r="HK132" s="66">
        <f t="shared" si="565"/>
        <v>0</v>
      </c>
      <c r="HN132" s="701" t="str">
        <f t="shared" si="591"/>
        <v/>
      </c>
      <c r="HO132" s="66">
        <f t="shared" si="566"/>
        <v>0</v>
      </c>
      <c r="HR132" s="701" t="str">
        <f t="shared" si="592"/>
        <v/>
      </c>
      <c r="HS132" s="66">
        <f t="shared" si="567"/>
        <v>0</v>
      </c>
      <c r="HV132" s="701" t="str">
        <f t="shared" si="593"/>
        <v/>
      </c>
      <c r="HW132" s="66">
        <f t="shared" si="568"/>
        <v>0</v>
      </c>
      <c r="HZ132" s="701" t="str">
        <f t="shared" si="594"/>
        <v/>
      </c>
      <c r="IA132" s="66">
        <f t="shared" si="569"/>
        <v>0</v>
      </c>
      <c r="ID132" s="701" t="str">
        <f t="shared" si="595"/>
        <v/>
      </c>
      <c r="IE132" s="66">
        <f t="shared" si="570"/>
        <v>0</v>
      </c>
      <c r="IH132" s="701" t="str">
        <f t="shared" si="596"/>
        <v/>
      </c>
      <c r="II132" s="66">
        <f t="shared" si="571"/>
        <v>0</v>
      </c>
      <c r="IL132" s="701" t="str">
        <f t="shared" si="597"/>
        <v/>
      </c>
      <c r="IM132" s="66">
        <f t="shared" si="572"/>
        <v>0</v>
      </c>
      <c r="IP132" s="701" t="str">
        <f t="shared" si="598"/>
        <v/>
      </c>
      <c r="IQ132" s="66">
        <f t="shared" si="573"/>
        <v>0</v>
      </c>
      <c r="IT132" s="701" t="str">
        <f t="shared" si="599"/>
        <v/>
      </c>
      <c r="IU132" s="66">
        <f t="shared" si="574"/>
        <v>0</v>
      </c>
      <c r="IX132" s="701" t="str">
        <f t="shared" si="600"/>
        <v/>
      </c>
      <c r="IY132" s="66">
        <f t="shared" si="575"/>
        <v>0</v>
      </c>
    </row>
    <row r="133" spans="42:259" ht="13.3" thickTop="1" thickBot="1" x14ac:dyDescent="0.35">
      <c r="AR133" s="1"/>
      <c r="AT133" s="1380">
        <f>IFERROR(IF(AND(OR(AX133=1,AY133=0),OR(AV133&lt;=$AU$7,AV133&gt;$AU$6,AV133-AW133=$AU$7,AV133-AW133=0)),1,LOOKUP(ABS(MAX((AV133-AW133),AY133)),$BB$85:$BB$93,$BG$85:$BG$93)),0)</f>
        <v>1</v>
      </c>
      <c r="AU133" s="1222">
        <f t="shared" si="651"/>
        <v>1</v>
      </c>
      <c r="AV133" s="1219">
        <f t="shared" si="652"/>
        <v>0</v>
      </c>
      <c r="AW133" s="1384">
        <f t="shared" si="648"/>
        <v>0</v>
      </c>
      <c r="AX133" s="1220">
        <f>IF(OR($AU$6-H28&lt;0,$AU$6-H28=0,H28&lt;=$AU$7,$AU$7-H28=0,2*$AU$7-H28=0,3*$AU$7-H28=0,4*$AU$7-H28=0,5*$AU$7-H28=0,6*$AU$7-H28=0,7*$AU$7-H28=0,8*$AU$7-H28=0,9*$AU$7-H28=0,10*$AU$7-H28=0),1,"")</f>
        <v>1</v>
      </c>
      <c r="AY133" s="2">
        <f t="shared" si="653"/>
        <v>5</v>
      </c>
      <c r="AZ133" s="2">
        <f t="shared" ref="AZ133:BI133" si="656">IF($AU$7*AZ$129-$H28&lt;-$AU$7,$AU$7,$AU$7*AZ$129-$H28)</f>
        <v>5</v>
      </c>
      <c r="BA133" s="2">
        <f t="shared" si="656"/>
        <v>10</v>
      </c>
      <c r="BB133" s="2">
        <f t="shared" si="656"/>
        <v>15</v>
      </c>
      <c r="BC133" s="2">
        <f t="shared" si="656"/>
        <v>20</v>
      </c>
      <c r="BD133" s="2">
        <f t="shared" si="656"/>
        <v>25</v>
      </c>
      <c r="BE133" s="2">
        <f t="shared" si="656"/>
        <v>30</v>
      </c>
      <c r="BF133" s="2">
        <f t="shared" si="656"/>
        <v>35</v>
      </c>
      <c r="BG133" s="2">
        <f t="shared" si="656"/>
        <v>40</v>
      </c>
      <c r="BH133" s="2">
        <f t="shared" si="656"/>
        <v>45</v>
      </c>
      <c r="BI133" s="2">
        <f t="shared" si="656"/>
        <v>50</v>
      </c>
      <c r="BJ133" s="2">
        <v>4</v>
      </c>
      <c r="BK133" s="1488">
        <f t="shared" si="620"/>
        <v>1</v>
      </c>
      <c r="BL133" s="827">
        <f t="shared" si="601"/>
        <v>0</v>
      </c>
      <c r="BM133" s="216">
        <f t="shared" si="621"/>
        <v>0</v>
      </c>
      <c r="BN133" s="216">
        <f t="shared" si="602"/>
        <v>0</v>
      </c>
      <c r="BO133" s="216">
        <f t="shared" si="603"/>
        <v>0</v>
      </c>
      <c r="BP133" s="216">
        <f t="shared" si="604"/>
        <v>0</v>
      </c>
      <c r="BQ133" s="216">
        <f t="shared" si="605"/>
        <v>0</v>
      </c>
      <c r="BR133" s="216">
        <f t="shared" si="606"/>
        <v>0</v>
      </c>
      <c r="BS133" s="216">
        <f t="shared" si="607"/>
        <v>0</v>
      </c>
      <c r="BT133" s="216">
        <f t="shared" si="608"/>
        <v>0</v>
      </c>
      <c r="BU133" s="827">
        <f t="shared" si="622"/>
        <v>0</v>
      </c>
      <c r="BV133" s="828">
        <f t="shared" si="609"/>
        <v>0</v>
      </c>
      <c r="BW133" s="828">
        <f t="shared" si="610"/>
        <v>0</v>
      </c>
      <c r="BX133" s="1">
        <f t="shared" si="611"/>
        <v>0</v>
      </c>
      <c r="BY133" s="1">
        <f t="shared" si="623"/>
        <v>0</v>
      </c>
      <c r="BZ133" s="827">
        <f t="shared" si="624"/>
        <v>0</v>
      </c>
      <c r="CA133" s="1">
        <f t="shared" si="612"/>
        <v>0</v>
      </c>
      <c r="CB133" s="1">
        <f t="shared" si="625"/>
        <v>0</v>
      </c>
      <c r="CC133" s="827">
        <f t="shared" si="626"/>
        <v>0</v>
      </c>
      <c r="CD133" s="1">
        <f t="shared" si="613"/>
        <v>0</v>
      </c>
      <c r="CE133" s="1">
        <f t="shared" si="627"/>
        <v>0</v>
      </c>
      <c r="CF133" s="827">
        <f t="shared" si="628"/>
        <v>0</v>
      </c>
      <c r="CG133" s="1">
        <f t="shared" si="614"/>
        <v>0</v>
      </c>
      <c r="CH133" s="1">
        <f t="shared" si="629"/>
        <v>0</v>
      </c>
      <c r="CI133" s="827">
        <f t="shared" si="630"/>
        <v>0</v>
      </c>
      <c r="CJ133" s="1">
        <f t="shared" si="615"/>
        <v>0</v>
      </c>
      <c r="CK133" s="1">
        <f t="shared" si="631"/>
        <v>0</v>
      </c>
      <c r="CL133" s="827">
        <f t="shared" si="632"/>
        <v>0</v>
      </c>
      <c r="CM133" s="1">
        <f t="shared" si="616"/>
        <v>0</v>
      </c>
      <c r="CN133" s="1">
        <f t="shared" si="633"/>
        <v>0</v>
      </c>
      <c r="CO133" s="827">
        <f t="shared" si="634"/>
        <v>0</v>
      </c>
      <c r="CP133" s="1">
        <f t="shared" si="617"/>
        <v>0</v>
      </c>
      <c r="CQ133" s="1">
        <f t="shared" si="635"/>
        <v>0</v>
      </c>
      <c r="CR133" s="827">
        <f t="shared" si="636"/>
        <v>0</v>
      </c>
      <c r="CS133" s="1">
        <f t="shared" si="618"/>
        <v>0</v>
      </c>
      <c r="CT133" s="1">
        <f t="shared" si="637"/>
        <v>0</v>
      </c>
      <c r="CU133" s="827">
        <f t="shared" si="638"/>
        <v>0</v>
      </c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522" t="str">
        <f t="shared" si="543"/>
        <v/>
      </c>
      <c r="EM133" s="17">
        <f t="shared" si="544"/>
        <v>0</v>
      </c>
      <c r="EN133" s="665">
        <f>EO133*EP133</f>
        <v>0</v>
      </c>
      <c r="EO133" s="665">
        <f t="shared" si="545"/>
        <v>0</v>
      </c>
      <c r="EP133" s="458">
        <f t="shared" si="546"/>
        <v>1</v>
      </c>
      <c r="EQ133" s="33"/>
      <c r="ER133" s="33"/>
      <c r="ES133" s="33"/>
      <c r="ET133" s="33"/>
      <c r="EU133" s="33"/>
      <c r="EV133" s="33"/>
      <c r="EW133" s="33"/>
      <c r="EX133" s="33"/>
      <c r="EY133" s="33">
        <v>22</v>
      </c>
      <c r="FD133" s="276" t="str">
        <f t="shared" si="547"/>
        <v/>
      </c>
      <c r="FE133" s="18">
        <f t="shared" si="548"/>
        <v>0</v>
      </c>
      <c r="FF133" s="275" t="str">
        <f t="shared" si="549"/>
        <v/>
      </c>
      <c r="FG133" s="145" t="str">
        <f t="shared" si="550"/>
        <v/>
      </c>
      <c r="FH133" s="19">
        <f t="shared" si="551"/>
        <v>0</v>
      </c>
      <c r="FJ133" s="701" t="str">
        <f t="shared" si="577"/>
        <v/>
      </c>
      <c r="FK133" s="66">
        <f t="shared" si="552"/>
        <v>0</v>
      </c>
      <c r="FN133" s="701" t="str">
        <f t="shared" si="578"/>
        <v/>
      </c>
      <c r="FO133" s="66">
        <f t="shared" si="553"/>
        <v>0</v>
      </c>
      <c r="FR133" s="701" t="str">
        <f t="shared" si="579"/>
        <v/>
      </c>
      <c r="FS133" s="66">
        <f t="shared" si="554"/>
        <v>0</v>
      </c>
      <c r="FV133" s="701" t="str">
        <f t="shared" si="580"/>
        <v/>
      </c>
      <c r="FW133" s="66">
        <f t="shared" si="555"/>
        <v>0</v>
      </c>
      <c r="FZ133" s="701" t="str">
        <f t="shared" si="581"/>
        <v/>
      </c>
      <c r="GA133" s="66">
        <f t="shared" si="556"/>
        <v>0</v>
      </c>
      <c r="GD133" s="701" t="str">
        <f t="shared" si="582"/>
        <v/>
      </c>
      <c r="GE133" s="66">
        <f t="shared" si="557"/>
        <v>0</v>
      </c>
      <c r="GH133" s="701" t="str">
        <f t="shared" si="583"/>
        <v/>
      </c>
      <c r="GI133" s="66">
        <f t="shared" si="558"/>
        <v>0</v>
      </c>
      <c r="GL133" s="701" t="str">
        <f t="shared" si="584"/>
        <v/>
      </c>
      <c r="GM133" s="66">
        <f t="shared" si="559"/>
        <v>0</v>
      </c>
      <c r="GP133" s="701" t="str">
        <f t="shared" si="585"/>
        <v/>
      </c>
      <c r="GQ133" s="66">
        <f t="shared" si="560"/>
        <v>0</v>
      </c>
      <c r="GT133" s="701" t="str">
        <f t="shared" si="586"/>
        <v/>
      </c>
      <c r="GU133" s="66">
        <f t="shared" si="561"/>
        <v>0</v>
      </c>
      <c r="GX133" s="701" t="str">
        <f t="shared" si="587"/>
        <v/>
      </c>
      <c r="GY133" s="66">
        <f t="shared" si="562"/>
        <v>0</v>
      </c>
      <c r="HB133" s="701" t="str">
        <f t="shared" si="588"/>
        <v/>
      </c>
      <c r="HC133" s="66">
        <f t="shared" si="563"/>
        <v>0</v>
      </c>
      <c r="HF133" s="701" t="str">
        <f t="shared" si="589"/>
        <v/>
      </c>
      <c r="HG133" s="66">
        <f t="shared" si="564"/>
        <v>0</v>
      </c>
      <c r="HJ133" s="701" t="str">
        <f t="shared" si="590"/>
        <v/>
      </c>
      <c r="HK133" s="66">
        <f t="shared" si="565"/>
        <v>0</v>
      </c>
      <c r="HN133" s="701" t="str">
        <f t="shared" si="591"/>
        <v/>
      </c>
      <c r="HO133" s="66">
        <f t="shared" si="566"/>
        <v>0</v>
      </c>
      <c r="HR133" s="701" t="str">
        <f t="shared" si="592"/>
        <v/>
      </c>
      <c r="HS133" s="66">
        <f t="shared" si="567"/>
        <v>0</v>
      </c>
      <c r="HV133" s="701" t="str">
        <f t="shared" si="593"/>
        <v/>
      </c>
      <c r="HW133" s="66">
        <f t="shared" si="568"/>
        <v>0</v>
      </c>
      <c r="HZ133" s="701" t="str">
        <f t="shared" si="594"/>
        <v/>
      </c>
      <c r="IA133" s="66">
        <f t="shared" si="569"/>
        <v>0</v>
      </c>
      <c r="ID133" s="701" t="str">
        <f t="shared" si="595"/>
        <v/>
      </c>
      <c r="IE133" s="66">
        <f t="shared" si="570"/>
        <v>0</v>
      </c>
      <c r="IH133" s="701" t="str">
        <f t="shared" si="596"/>
        <v/>
      </c>
      <c r="II133" s="66">
        <f t="shared" si="571"/>
        <v>0</v>
      </c>
      <c r="IL133" s="701" t="str">
        <f t="shared" si="597"/>
        <v/>
      </c>
      <c r="IM133" s="66">
        <f t="shared" si="572"/>
        <v>0</v>
      </c>
      <c r="IP133" s="701" t="str">
        <f t="shared" si="598"/>
        <v/>
      </c>
      <c r="IQ133" s="66">
        <f t="shared" si="573"/>
        <v>0</v>
      </c>
      <c r="IT133" s="701" t="str">
        <f t="shared" si="599"/>
        <v/>
      </c>
      <c r="IU133" s="66">
        <f t="shared" si="574"/>
        <v>0</v>
      </c>
      <c r="IX133" s="701" t="str">
        <f t="shared" si="600"/>
        <v/>
      </c>
      <c r="IY133" s="66">
        <f t="shared" si="575"/>
        <v>0</v>
      </c>
    </row>
    <row r="134" spans="42:259" ht="13.3" thickTop="1" thickBot="1" x14ac:dyDescent="0.35">
      <c r="AP134" s="77"/>
      <c r="AR134" s="77"/>
      <c r="AT134" s="1380">
        <f t="shared" ref="AT134:AT154" si="657">IFERROR(IF(AND(OR(AX134=1,AY134=0),OR(AV134&lt;=$AU$7,AV134&gt;$AU$6,AV134-AW134=$AU$7,AV134-AW134=0)),1,LOOKUP(ABS(MAX((AV134-AW134),AY134)),$BB$85:$BB$93,$BG$85:$BG$93)),0)</f>
        <v>1</v>
      </c>
      <c r="AU134" s="1222">
        <f>IF(AND(OR(AX134=1,AY134=0),OR(AV134&lt;=$AU$7,AV134&gt;$AU$6,AV134-AW134=$AU$7,AV134-AW134=0)),1,ABS(MAX((AV134-AW134),AY134)/$AU$7))</f>
        <v>1</v>
      </c>
      <c r="AV134" s="1219">
        <f t="shared" si="652"/>
        <v>0</v>
      </c>
      <c r="AW134" s="1384">
        <f t="shared" si="648"/>
        <v>0</v>
      </c>
      <c r="AX134" s="1220">
        <f t="shared" si="649"/>
        <v>1</v>
      </c>
      <c r="AY134" s="2">
        <f t="shared" si="653"/>
        <v>5</v>
      </c>
      <c r="AZ134" s="2">
        <f t="shared" ref="AZ134:BI134" si="658">IF($AU$7*AZ$129-$H29&lt;-$AU$7,$AU$7,$AU$7*AZ$129-$H29)</f>
        <v>5</v>
      </c>
      <c r="BA134" s="2">
        <f t="shared" si="658"/>
        <v>10</v>
      </c>
      <c r="BB134" s="2">
        <f t="shared" si="658"/>
        <v>15</v>
      </c>
      <c r="BC134" s="2">
        <f t="shared" si="658"/>
        <v>20</v>
      </c>
      <c r="BD134" s="2">
        <f t="shared" si="658"/>
        <v>25</v>
      </c>
      <c r="BE134" s="2">
        <f t="shared" si="658"/>
        <v>30</v>
      </c>
      <c r="BF134" s="2">
        <f t="shared" si="658"/>
        <v>35</v>
      </c>
      <c r="BG134" s="2">
        <f t="shared" si="658"/>
        <v>40</v>
      </c>
      <c r="BH134" s="2">
        <f t="shared" si="658"/>
        <v>45</v>
      </c>
      <c r="BI134" s="2">
        <f t="shared" si="658"/>
        <v>50</v>
      </c>
      <c r="BJ134" s="2">
        <v>5</v>
      </c>
      <c r="BK134" s="1488">
        <f t="shared" si="620"/>
        <v>1</v>
      </c>
      <c r="BL134" s="827">
        <f t="shared" si="601"/>
        <v>0</v>
      </c>
      <c r="BM134" s="216">
        <f t="shared" si="621"/>
        <v>0</v>
      </c>
      <c r="BN134" s="216">
        <f t="shared" si="602"/>
        <v>0</v>
      </c>
      <c r="BO134" s="216">
        <f t="shared" si="603"/>
        <v>0</v>
      </c>
      <c r="BP134" s="216">
        <f t="shared" si="604"/>
        <v>0</v>
      </c>
      <c r="BQ134" s="216">
        <f t="shared" si="605"/>
        <v>0</v>
      </c>
      <c r="BR134" s="216">
        <f t="shared" si="606"/>
        <v>0</v>
      </c>
      <c r="BS134" s="216">
        <f t="shared" si="607"/>
        <v>0</v>
      </c>
      <c r="BT134" s="216">
        <f t="shared" si="608"/>
        <v>0</v>
      </c>
      <c r="BU134" s="827">
        <f t="shared" si="622"/>
        <v>0</v>
      </c>
      <c r="BV134" s="828">
        <f t="shared" si="609"/>
        <v>0</v>
      </c>
      <c r="BW134" s="828">
        <f t="shared" si="610"/>
        <v>0</v>
      </c>
      <c r="BX134" s="1">
        <f t="shared" si="611"/>
        <v>0</v>
      </c>
      <c r="BY134" s="1">
        <f t="shared" si="623"/>
        <v>0</v>
      </c>
      <c r="BZ134" s="827">
        <f t="shared" si="624"/>
        <v>0</v>
      </c>
      <c r="CA134" s="1">
        <f t="shared" si="612"/>
        <v>0</v>
      </c>
      <c r="CB134" s="1">
        <f t="shared" si="625"/>
        <v>0</v>
      </c>
      <c r="CC134" s="827">
        <f t="shared" si="626"/>
        <v>0</v>
      </c>
      <c r="CD134" s="1">
        <f t="shared" si="613"/>
        <v>0</v>
      </c>
      <c r="CE134" s="1">
        <f t="shared" si="627"/>
        <v>0</v>
      </c>
      <c r="CF134" s="827">
        <f t="shared" si="628"/>
        <v>0</v>
      </c>
      <c r="CG134" s="1">
        <f t="shared" si="614"/>
        <v>0</v>
      </c>
      <c r="CH134" s="1">
        <f t="shared" si="629"/>
        <v>0</v>
      </c>
      <c r="CI134" s="827">
        <f t="shared" si="630"/>
        <v>0</v>
      </c>
      <c r="CJ134" s="1">
        <f t="shared" si="615"/>
        <v>0</v>
      </c>
      <c r="CK134" s="1">
        <f t="shared" si="631"/>
        <v>0</v>
      </c>
      <c r="CL134" s="827">
        <f t="shared" si="632"/>
        <v>0</v>
      </c>
      <c r="CM134" s="1">
        <f t="shared" si="616"/>
        <v>0</v>
      </c>
      <c r="CN134" s="1">
        <f t="shared" si="633"/>
        <v>0</v>
      </c>
      <c r="CO134" s="827">
        <f t="shared" si="634"/>
        <v>0</v>
      </c>
      <c r="CP134" s="1">
        <f t="shared" si="617"/>
        <v>0</v>
      </c>
      <c r="CQ134" s="1">
        <f t="shared" si="635"/>
        <v>0</v>
      </c>
      <c r="CR134" s="827">
        <f t="shared" si="636"/>
        <v>0</v>
      </c>
      <c r="CS134" s="1">
        <f t="shared" si="618"/>
        <v>0</v>
      </c>
      <c r="CT134" s="1">
        <f t="shared" si="637"/>
        <v>0</v>
      </c>
      <c r="CU134" s="827">
        <f t="shared" si="638"/>
        <v>0</v>
      </c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522" t="str">
        <f t="shared" si="543"/>
        <v/>
      </c>
      <c r="EM134" s="17">
        <f t="shared" si="544"/>
        <v>0</v>
      </c>
      <c r="EN134" s="665">
        <f>EO134*EP134</f>
        <v>0</v>
      </c>
      <c r="EO134" s="665">
        <f t="shared" si="545"/>
        <v>0</v>
      </c>
      <c r="EP134" s="458">
        <f t="shared" si="546"/>
        <v>1</v>
      </c>
      <c r="EQ134" s="33"/>
      <c r="ER134" s="33"/>
      <c r="ES134" s="33"/>
      <c r="ET134" s="33"/>
      <c r="EU134" s="33"/>
      <c r="EV134" s="33"/>
      <c r="EW134" s="33"/>
      <c r="EX134" s="33"/>
      <c r="EY134" s="33">
        <v>23</v>
      </c>
      <c r="FD134" s="276" t="str">
        <f t="shared" si="547"/>
        <v/>
      </c>
      <c r="FE134" s="18">
        <f t="shared" si="548"/>
        <v>0</v>
      </c>
      <c r="FF134" s="275" t="str">
        <f t="shared" si="549"/>
        <v/>
      </c>
      <c r="FG134" s="145" t="str">
        <f t="shared" si="550"/>
        <v/>
      </c>
      <c r="FH134" s="19">
        <f t="shared" si="551"/>
        <v>0</v>
      </c>
      <c r="FJ134" s="701" t="str">
        <f t="shared" si="577"/>
        <v/>
      </c>
      <c r="FK134" s="66">
        <f t="shared" si="552"/>
        <v>0</v>
      </c>
      <c r="FN134" s="701" t="str">
        <f t="shared" si="578"/>
        <v/>
      </c>
      <c r="FO134" s="66">
        <f t="shared" si="553"/>
        <v>0</v>
      </c>
      <c r="FR134" s="701" t="str">
        <f t="shared" si="579"/>
        <v/>
      </c>
      <c r="FS134" s="66">
        <f t="shared" si="554"/>
        <v>0</v>
      </c>
      <c r="FV134" s="701" t="str">
        <f t="shared" si="580"/>
        <v/>
      </c>
      <c r="FW134" s="66">
        <f t="shared" si="555"/>
        <v>0</v>
      </c>
      <c r="FZ134" s="701" t="str">
        <f t="shared" si="581"/>
        <v/>
      </c>
      <c r="GA134" s="66">
        <f t="shared" si="556"/>
        <v>0</v>
      </c>
      <c r="GD134" s="701" t="str">
        <f t="shared" si="582"/>
        <v/>
      </c>
      <c r="GE134" s="66">
        <f t="shared" si="557"/>
        <v>0</v>
      </c>
      <c r="GH134" s="701" t="str">
        <f t="shared" si="583"/>
        <v/>
      </c>
      <c r="GI134" s="66">
        <f t="shared" si="558"/>
        <v>0</v>
      </c>
      <c r="GL134" s="701" t="str">
        <f t="shared" si="584"/>
        <v/>
      </c>
      <c r="GM134" s="66">
        <f t="shared" si="559"/>
        <v>0</v>
      </c>
      <c r="GP134" s="701" t="str">
        <f t="shared" si="585"/>
        <v/>
      </c>
      <c r="GQ134" s="66">
        <f t="shared" si="560"/>
        <v>0</v>
      </c>
      <c r="GT134" s="701" t="str">
        <f t="shared" si="586"/>
        <v/>
      </c>
      <c r="GU134" s="66">
        <f t="shared" si="561"/>
        <v>0</v>
      </c>
      <c r="GX134" s="701" t="str">
        <f t="shared" si="587"/>
        <v/>
      </c>
      <c r="GY134" s="66">
        <f t="shared" si="562"/>
        <v>0</v>
      </c>
      <c r="HB134" s="701" t="str">
        <f t="shared" si="588"/>
        <v/>
      </c>
      <c r="HC134" s="66">
        <f t="shared" si="563"/>
        <v>0</v>
      </c>
      <c r="HF134" s="701" t="str">
        <f t="shared" si="589"/>
        <v/>
      </c>
      <c r="HG134" s="66">
        <f t="shared" si="564"/>
        <v>0</v>
      </c>
      <c r="HJ134" s="701" t="str">
        <f t="shared" si="590"/>
        <v/>
      </c>
      <c r="HK134" s="66">
        <f t="shared" si="565"/>
        <v>0</v>
      </c>
      <c r="HN134" s="701" t="str">
        <f t="shared" si="591"/>
        <v/>
      </c>
      <c r="HO134" s="66">
        <f t="shared" si="566"/>
        <v>0</v>
      </c>
      <c r="HR134" s="701" t="str">
        <f t="shared" si="592"/>
        <v/>
      </c>
      <c r="HS134" s="66">
        <f t="shared" si="567"/>
        <v>0</v>
      </c>
      <c r="HV134" s="701" t="str">
        <f t="shared" si="593"/>
        <v/>
      </c>
      <c r="HW134" s="66">
        <f t="shared" si="568"/>
        <v>0</v>
      </c>
      <c r="HZ134" s="701" t="str">
        <f t="shared" si="594"/>
        <v/>
      </c>
      <c r="IA134" s="66">
        <f t="shared" si="569"/>
        <v>0</v>
      </c>
      <c r="ID134" s="701" t="str">
        <f t="shared" si="595"/>
        <v/>
      </c>
      <c r="IE134" s="66">
        <f t="shared" si="570"/>
        <v>0</v>
      </c>
      <c r="IH134" s="701" t="str">
        <f t="shared" si="596"/>
        <v/>
      </c>
      <c r="II134" s="66">
        <f t="shared" si="571"/>
        <v>0</v>
      </c>
      <c r="IL134" s="701" t="str">
        <f t="shared" si="597"/>
        <v/>
      </c>
      <c r="IM134" s="66">
        <f t="shared" si="572"/>
        <v>0</v>
      </c>
      <c r="IP134" s="701" t="str">
        <f t="shared" si="598"/>
        <v/>
      </c>
      <c r="IQ134" s="66">
        <f t="shared" si="573"/>
        <v>0</v>
      </c>
      <c r="IT134" s="701" t="str">
        <f t="shared" si="599"/>
        <v/>
      </c>
      <c r="IU134" s="66">
        <f t="shared" si="574"/>
        <v>0</v>
      </c>
      <c r="IX134" s="701" t="str">
        <f t="shared" si="600"/>
        <v/>
      </c>
      <c r="IY134" s="66">
        <f t="shared" si="575"/>
        <v>0</v>
      </c>
    </row>
    <row r="135" spans="42:259" ht="13.3" thickTop="1" thickBot="1" x14ac:dyDescent="0.35">
      <c r="AR135" s="1"/>
      <c r="AT135" s="1380">
        <f t="shared" si="657"/>
        <v>1</v>
      </c>
      <c r="AU135" s="1222">
        <f t="shared" si="651"/>
        <v>1</v>
      </c>
      <c r="AV135" s="1219">
        <f t="shared" si="652"/>
        <v>0</v>
      </c>
      <c r="AW135" s="1384">
        <f t="shared" si="648"/>
        <v>0</v>
      </c>
      <c r="AX135" s="1220">
        <f t="shared" si="649"/>
        <v>1</v>
      </c>
      <c r="AY135" s="2">
        <f t="shared" si="653"/>
        <v>5</v>
      </c>
      <c r="AZ135" s="2">
        <f t="shared" ref="AZ135:BI135" si="659">IF($AU$7*AZ$129-$H30&lt;-$AU$7,$AU$7,$AU$7*AZ$129-$H30)</f>
        <v>5</v>
      </c>
      <c r="BA135" s="2">
        <f t="shared" si="659"/>
        <v>10</v>
      </c>
      <c r="BB135" s="2">
        <f t="shared" si="659"/>
        <v>15</v>
      </c>
      <c r="BC135" s="2">
        <f t="shared" si="659"/>
        <v>20</v>
      </c>
      <c r="BD135" s="2">
        <f t="shared" si="659"/>
        <v>25</v>
      </c>
      <c r="BE135" s="2">
        <f t="shared" si="659"/>
        <v>30</v>
      </c>
      <c r="BF135" s="2">
        <f t="shared" si="659"/>
        <v>35</v>
      </c>
      <c r="BG135" s="2">
        <f t="shared" si="659"/>
        <v>40</v>
      </c>
      <c r="BH135" s="2">
        <f t="shared" si="659"/>
        <v>45</v>
      </c>
      <c r="BI135" s="2">
        <f t="shared" si="659"/>
        <v>50</v>
      </c>
      <c r="BJ135" s="2">
        <v>6</v>
      </c>
      <c r="BK135" s="1488">
        <f t="shared" si="620"/>
        <v>1</v>
      </c>
      <c r="BL135" s="827">
        <f t="shared" si="601"/>
        <v>0</v>
      </c>
      <c r="BM135" s="216">
        <f t="shared" si="621"/>
        <v>0</v>
      </c>
      <c r="BN135" s="216">
        <f t="shared" si="602"/>
        <v>0</v>
      </c>
      <c r="BO135" s="216">
        <f t="shared" si="603"/>
        <v>0</v>
      </c>
      <c r="BP135" s="216">
        <f t="shared" si="604"/>
        <v>0</v>
      </c>
      <c r="BQ135" s="216">
        <f t="shared" si="605"/>
        <v>0</v>
      </c>
      <c r="BR135" s="216">
        <f t="shared" si="606"/>
        <v>0</v>
      </c>
      <c r="BS135" s="216">
        <f t="shared" si="607"/>
        <v>0</v>
      </c>
      <c r="BT135" s="216">
        <f t="shared" si="608"/>
        <v>0</v>
      </c>
      <c r="BU135" s="827">
        <f t="shared" si="622"/>
        <v>0</v>
      </c>
      <c r="BV135" s="828">
        <f t="shared" si="609"/>
        <v>0</v>
      </c>
      <c r="BW135" s="828">
        <f t="shared" si="610"/>
        <v>0</v>
      </c>
      <c r="BX135" s="1">
        <f t="shared" si="611"/>
        <v>0</v>
      </c>
      <c r="BY135" s="1">
        <f t="shared" si="623"/>
        <v>0</v>
      </c>
      <c r="BZ135" s="827">
        <f t="shared" si="624"/>
        <v>0</v>
      </c>
      <c r="CA135" s="1">
        <f t="shared" si="612"/>
        <v>0</v>
      </c>
      <c r="CB135" s="1">
        <f t="shared" si="625"/>
        <v>0</v>
      </c>
      <c r="CC135" s="827">
        <f t="shared" si="626"/>
        <v>0</v>
      </c>
      <c r="CD135" s="1">
        <f t="shared" si="613"/>
        <v>0</v>
      </c>
      <c r="CE135" s="1">
        <f t="shared" si="627"/>
        <v>0</v>
      </c>
      <c r="CF135" s="827">
        <f t="shared" si="628"/>
        <v>0</v>
      </c>
      <c r="CG135" s="1">
        <f t="shared" si="614"/>
        <v>0</v>
      </c>
      <c r="CH135" s="1">
        <f t="shared" si="629"/>
        <v>0</v>
      </c>
      <c r="CI135" s="827">
        <f t="shared" si="630"/>
        <v>0</v>
      </c>
      <c r="CJ135" s="1">
        <f t="shared" si="615"/>
        <v>0</v>
      </c>
      <c r="CK135" s="1">
        <f t="shared" si="631"/>
        <v>0</v>
      </c>
      <c r="CL135" s="827">
        <f t="shared" si="632"/>
        <v>0</v>
      </c>
      <c r="CM135" s="1">
        <f t="shared" si="616"/>
        <v>0</v>
      </c>
      <c r="CN135" s="1">
        <f t="shared" si="633"/>
        <v>0</v>
      </c>
      <c r="CO135" s="827">
        <f t="shared" si="634"/>
        <v>0</v>
      </c>
      <c r="CP135" s="1">
        <f t="shared" si="617"/>
        <v>0</v>
      </c>
      <c r="CQ135" s="1">
        <f t="shared" si="635"/>
        <v>0</v>
      </c>
      <c r="CR135" s="827">
        <f t="shared" si="636"/>
        <v>0</v>
      </c>
      <c r="CS135" s="1">
        <f t="shared" si="618"/>
        <v>0</v>
      </c>
      <c r="CT135" s="1">
        <f t="shared" si="637"/>
        <v>0</v>
      </c>
      <c r="CU135" s="827">
        <f t="shared" si="638"/>
        <v>0</v>
      </c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522" t="str">
        <f t="shared" si="543"/>
        <v/>
      </c>
      <c r="EM135" s="17">
        <f t="shared" si="544"/>
        <v>0</v>
      </c>
      <c r="EN135" s="665">
        <f>EO135*EP135</f>
        <v>0</v>
      </c>
      <c r="EO135" s="665">
        <f t="shared" si="545"/>
        <v>0</v>
      </c>
      <c r="EP135" s="458">
        <f t="shared" si="546"/>
        <v>1</v>
      </c>
      <c r="EQ135" s="33"/>
      <c r="ER135" s="33"/>
      <c r="ES135" s="33"/>
      <c r="ET135" s="33"/>
      <c r="EU135" s="33"/>
      <c r="EV135" s="33"/>
      <c r="EW135" s="33"/>
      <c r="EX135" s="33"/>
      <c r="EY135" s="33">
        <v>24</v>
      </c>
      <c r="FD135" s="276" t="str">
        <f t="shared" si="547"/>
        <v/>
      </c>
      <c r="FE135" s="18">
        <f t="shared" si="548"/>
        <v>0</v>
      </c>
      <c r="FF135" s="275" t="str">
        <f t="shared" si="549"/>
        <v/>
      </c>
      <c r="FG135" s="145" t="str">
        <f t="shared" si="550"/>
        <v/>
      </c>
      <c r="FH135" s="19">
        <f t="shared" si="551"/>
        <v>0</v>
      </c>
      <c r="FJ135" s="701" t="str">
        <f t="shared" si="577"/>
        <v/>
      </c>
      <c r="FK135" s="66">
        <f t="shared" si="552"/>
        <v>0</v>
      </c>
      <c r="FN135" s="701" t="str">
        <f t="shared" si="578"/>
        <v/>
      </c>
      <c r="FO135" s="66">
        <f t="shared" si="553"/>
        <v>0</v>
      </c>
      <c r="FR135" s="701" t="str">
        <f t="shared" si="579"/>
        <v/>
      </c>
      <c r="FS135" s="66">
        <f t="shared" si="554"/>
        <v>0</v>
      </c>
      <c r="FV135" s="701" t="str">
        <f t="shared" si="580"/>
        <v/>
      </c>
      <c r="FW135" s="66">
        <f t="shared" si="555"/>
        <v>0</v>
      </c>
      <c r="FZ135" s="701" t="str">
        <f t="shared" si="581"/>
        <v/>
      </c>
      <c r="GA135" s="66">
        <f t="shared" si="556"/>
        <v>0</v>
      </c>
      <c r="GD135" s="701" t="str">
        <f t="shared" si="582"/>
        <v/>
      </c>
      <c r="GE135" s="66">
        <f t="shared" si="557"/>
        <v>0</v>
      </c>
      <c r="GH135" s="701" t="str">
        <f t="shared" si="583"/>
        <v/>
      </c>
      <c r="GI135" s="66">
        <f t="shared" si="558"/>
        <v>0</v>
      </c>
      <c r="GL135" s="701" t="str">
        <f t="shared" si="584"/>
        <v/>
      </c>
      <c r="GM135" s="66">
        <f t="shared" si="559"/>
        <v>0</v>
      </c>
      <c r="GP135" s="701" t="str">
        <f t="shared" si="585"/>
        <v/>
      </c>
      <c r="GQ135" s="66">
        <f t="shared" si="560"/>
        <v>0</v>
      </c>
      <c r="GT135" s="701" t="str">
        <f t="shared" si="586"/>
        <v/>
      </c>
      <c r="GU135" s="66">
        <f t="shared" si="561"/>
        <v>0</v>
      </c>
      <c r="GX135" s="701" t="str">
        <f t="shared" si="587"/>
        <v/>
      </c>
      <c r="GY135" s="66">
        <f t="shared" si="562"/>
        <v>0</v>
      </c>
      <c r="HB135" s="701" t="str">
        <f t="shared" si="588"/>
        <v/>
      </c>
      <c r="HC135" s="66">
        <f t="shared" si="563"/>
        <v>0</v>
      </c>
      <c r="HF135" s="701" t="str">
        <f t="shared" si="589"/>
        <v/>
      </c>
      <c r="HG135" s="66">
        <f t="shared" si="564"/>
        <v>0</v>
      </c>
      <c r="HJ135" s="701" t="str">
        <f t="shared" si="590"/>
        <v/>
      </c>
      <c r="HK135" s="66">
        <f t="shared" si="565"/>
        <v>0</v>
      </c>
      <c r="HN135" s="701" t="str">
        <f t="shared" si="591"/>
        <v/>
      </c>
      <c r="HO135" s="66">
        <f t="shared" si="566"/>
        <v>0</v>
      </c>
      <c r="HR135" s="701" t="str">
        <f t="shared" si="592"/>
        <v/>
      </c>
      <c r="HS135" s="66">
        <f t="shared" si="567"/>
        <v>0</v>
      </c>
      <c r="HV135" s="701" t="str">
        <f t="shared" si="593"/>
        <v/>
      </c>
      <c r="HW135" s="66">
        <f t="shared" si="568"/>
        <v>0</v>
      </c>
      <c r="HZ135" s="701" t="str">
        <f t="shared" si="594"/>
        <v/>
      </c>
      <c r="IA135" s="66">
        <f t="shared" si="569"/>
        <v>0</v>
      </c>
      <c r="ID135" s="701" t="str">
        <f t="shared" si="595"/>
        <v/>
      </c>
      <c r="IE135" s="66">
        <f t="shared" si="570"/>
        <v>0</v>
      </c>
      <c r="IH135" s="701" t="str">
        <f t="shared" si="596"/>
        <v/>
      </c>
      <c r="II135" s="66">
        <f t="shared" si="571"/>
        <v>0</v>
      </c>
      <c r="IL135" s="701" t="str">
        <f t="shared" si="597"/>
        <v/>
      </c>
      <c r="IM135" s="66">
        <f t="shared" si="572"/>
        <v>0</v>
      </c>
      <c r="IP135" s="701" t="str">
        <f t="shared" si="598"/>
        <v/>
      </c>
      <c r="IQ135" s="66">
        <f t="shared" si="573"/>
        <v>0</v>
      </c>
      <c r="IT135" s="701" t="str">
        <f t="shared" si="599"/>
        <v/>
      </c>
      <c r="IU135" s="66">
        <f t="shared" si="574"/>
        <v>0</v>
      </c>
      <c r="IX135" s="701" t="str">
        <f t="shared" si="600"/>
        <v/>
      </c>
      <c r="IY135" s="66">
        <f t="shared" si="575"/>
        <v>0</v>
      </c>
    </row>
    <row r="136" spans="42:259" ht="13.3" thickTop="1" thickBot="1" x14ac:dyDescent="0.35">
      <c r="AR136" s="1"/>
      <c r="AT136" s="1380">
        <f t="shared" si="657"/>
        <v>1</v>
      </c>
      <c r="AU136" s="1222">
        <f t="shared" si="651"/>
        <v>1</v>
      </c>
      <c r="AV136" s="1219">
        <f t="shared" si="652"/>
        <v>0</v>
      </c>
      <c r="AW136" s="1384">
        <f t="shared" si="648"/>
        <v>0</v>
      </c>
      <c r="AX136" s="1220">
        <f t="shared" si="649"/>
        <v>1</v>
      </c>
      <c r="AY136" s="2">
        <f t="shared" si="653"/>
        <v>5</v>
      </c>
      <c r="AZ136" s="2">
        <f t="shared" ref="AZ136:BI136" si="660">IF($AU$7*AZ$129-$H31&lt;-$AU$7,$AU$7,$AU$7*AZ$129-$H31)</f>
        <v>5</v>
      </c>
      <c r="BA136" s="2">
        <f t="shared" si="660"/>
        <v>10</v>
      </c>
      <c r="BB136" s="2">
        <f t="shared" si="660"/>
        <v>15</v>
      </c>
      <c r="BC136" s="2">
        <f t="shared" si="660"/>
        <v>20</v>
      </c>
      <c r="BD136" s="2">
        <f t="shared" si="660"/>
        <v>25</v>
      </c>
      <c r="BE136" s="2">
        <f t="shared" si="660"/>
        <v>30</v>
      </c>
      <c r="BF136" s="2">
        <f t="shared" si="660"/>
        <v>35</v>
      </c>
      <c r="BG136" s="2">
        <f t="shared" si="660"/>
        <v>40</v>
      </c>
      <c r="BH136" s="2">
        <f t="shared" si="660"/>
        <v>45</v>
      </c>
      <c r="BI136" s="2">
        <f t="shared" si="660"/>
        <v>50</v>
      </c>
      <c r="BJ136" s="2">
        <v>7</v>
      </c>
      <c r="BK136" s="1488">
        <f t="shared" si="620"/>
        <v>1</v>
      </c>
      <c r="BL136" s="827">
        <f t="shared" si="601"/>
        <v>0</v>
      </c>
      <c r="BM136" s="216">
        <f t="shared" si="621"/>
        <v>0</v>
      </c>
      <c r="BN136" s="216">
        <f t="shared" si="602"/>
        <v>0</v>
      </c>
      <c r="BO136" s="216">
        <f t="shared" si="603"/>
        <v>0</v>
      </c>
      <c r="BP136" s="216">
        <f t="shared" si="604"/>
        <v>0</v>
      </c>
      <c r="BQ136" s="216">
        <f t="shared" si="605"/>
        <v>0</v>
      </c>
      <c r="BR136" s="216">
        <f t="shared" si="606"/>
        <v>0</v>
      </c>
      <c r="BS136" s="216">
        <f t="shared" si="607"/>
        <v>0</v>
      </c>
      <c r="BT136" s="216">
        <f t="shared" si="608"/>
        <v>0</v>
      </c>
      <c r="BU136" s="827">
        <f t="shared" si="622"/>
        <v>0</v>
      </c>
      <c r="BV136" s="828">
        <f t="shared" si="609"/>
        <v>0</v>
      </c>
      <c r="BW136" s="828">
        <f t="shared" si="610"/>
        <v>0</v>
      </c>
      <c r="BX136" s="1">
        <f t="shared" si="611"/>
        <v>0</v>
      </c>
      <c r="BY136" s="1">
        <f t="shared" si="623"/>
        <v>0</v>
      </c>
      <c r="BZ136" s="827">
        <f t="shared" si="624"/>
        <v>0</v>
      </c>
      <c r="CA136" s="1">
        <f t="shared" si="612"/>
        <v>0</v>
      </c>
      <c r="CB136" s="1">
        <f t="shared" si="625"/>
        <v>0</v>
      </c>
      <c r="CC136" s="827">
        <f t="shared" si="626"/>
        <v>0</v>
      </c>
      <c r="CD136" s="1">
        <f t="shared" si="613"/>
        <v>0</v>
      </c>
      <c r="CE136" s="1">
        <f t="shared" si="627"/>
        <v>0</v>
      </c>
      <c r="CF136" s="827">
        <f t="shared" si="628"/>
        <v>0</v>
      </c>
      <c r="CG136" s="1">
        <f t="shared" si="614"/>
        <v>0</v>
      </c>
      <c r="CH136" s="1">
        <f t="shared" si="629"/>
        <v>0</v>
      </c>
      <c r="CI136" s="827">
        <f t="shared" si="630"/>
        <v>0</v>
      </c>
      <c r="CJ136" s="1">
        <f t="shared" si="615"/>
        <v>0</v>
      </c>
      <c r="CK136" s="1">
        <f t="shared" si="631"/>
        <v>0</v>
      </c>
      <c r="CL136" s="827">
        <f t="shared" si="632"/>
        <v>0</v>
      </c>
      <c r="CM136" s="1">
        <f t="shared" si="616"/>
        <v>0</v>
      </c>
      <c r="CN136" s="1">
        <f t="shared" si="633"/>
        <v>0</v>
      </c>
      <c r="CO136" s="827">
        <f t="shared" si="634"/>
        <v>0</v>
      </c>
      <c r="CP136" s="1">
        <f t="shared" si="617"/>
        <v>0</v>
      </c>
      <c r="CQ136" s="1">
        <f t="shared" si="635"/>
        <v>0</v>
      </c>
      <c r="CR136" s="827">
        <f t="shared" si="636"/>
        <v>0</v>
      </c>
      <c r="CS136" s="1">
        <f t="shared" si="618"/>
        <v>0</v>
      </c>
      <c r="CT136" s="1">
        <f t="shared" si="637"/>
        <v>0</v>
      </c>
      <c r="CU136" s="827">
        <f t="shared" si="638"/>
        <v>0</v>
      </c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522" t="str">
        <f t="shared" si="543"/>
        <v/>
      </c>
      <c r="EM136" s="17">
        <f t="shared" si="544"/>
        <v>0</v>
      </c>
      <c r="EN136" s="665">
        <f>EO136*EP136</f>
        <v>0</v>
      </c>
      <c r="EO136" s="665">
        <f t="shared" si="545"/>
        <v>0</v>
      </c>
      <c r="EP136" s="458">
        <f t="shared" si="546"/>
        <v>1</v>
      </c>
      <c r="EQ136" s="33"/>
      <c r="ER136" s="33"/>
      <c r="ES136" s="33"/>
      <c r="ET136" s="33"/>
      <c r="EU136" s="33"/>
      <c r="EV136" s="33"/>
      <c r="EW136" s="33"/>
      <c r="EX136" s="33"/>
      <c r="EY136" s="33">
        <v>25</v>
      </c>
      <c r="FD136" s="276" t="str">
        <f t="shared" si="547"/>
        <v/>
      </c>
      <c r="FE136" s="18">
        <f t="shared" si="548"/>
        <v>0</v>
      </c>
      <c r="FF136" s="275" t="str">
        <f t="shared" si="549"/>
        <v/>
      </c>
      <c r="FG136" s="145" t="str">
        <f t="shared" si="550"/>
        <v/>
      </c>
      <c r="FH136" s="19">
        <f t="shared" si="551"/>
        <v>0</v>
      </c>
      <c r="FJ136" s="701" t="str">
        <f t="shared" si="577"/>
        <v/>
      </c>
      <c r="FK136" s="66">
        <f t="shared" si="552"/>
        <v>0</v>
      </c>
      <c r="FN136" s="701" t="str">
        <f t="shared" si="578"/>
        <v/>
      </c>
      <c r="FO136" s="66">
        <f t="shared" si="553"/>
        <v>0</v>
      </c>
      <c r="FR136" s="701" t="str">
        <f t="shared" si="579"/>
        <v/>
      </c>
      <c r="FS136" s="66">
        <f t="shared" si="554"/>
        <v>0</v>
      </c>
      <c r="FV136" s="701" t="str">
        <f t="shared" si="580"/>
        <v/>
      </c>
      <c r="FW136" s="66">
        <f t="shared" si="555"/>
        <v>0</v>
      </c>
      <c r="FZ136" s="701" t="str">
        <f t="shared" si="581"/>
        <v/>
      </c>
      <c r="GA136" s="66">
        <f t="shared" si="556"/>
        <v>0</v>
      </c>
      <c r="GD136" s="701" t="str">
        <f t="shared" si="582"/>
        <v/>
      </c>
      <c r="GE136" s="66">
        <f t="shared" si="557"/>
        <v>0</v>
      </c>
      <c r="GH136" s="701" t="str">
        <f t="shared" si="583"/>
        <v/>
      </c>
      <c r="GI136" s="66">
        <f t="shared" si="558"/>
        <v>0</v>
      </c>
      <c r="GL136" s="701" t="str">
        <f t="shared" si="584"/>
        <v/>
      </c>
      <c r="GM136" s="66">
        <f t="shared" si="559"/>
        <v>0</v>
      </c>
      <c r="GP136" s="701" t="str">
        <f t="shared" si="585"/>
        <v/>
      </c>
      <c r="GQ136" s="66">
        <f t="shared" si="560"/>
        <v>0</v>
      </c>
      <c r="GT136" s="701" t="str">
        <f t="shared" si="586"/>
        <v/>
      </c>
      <c r="GU136" s="66">
        <f t="shared" si="561"/>
        <v>0</v>
      </c>
      <c r="GX136" s="701" t="str">
        <f t="shared" si="587"/>
        <v/>
      </c>
      <c r="GY136" s="66">
        <f t="shared" si="562"/>
        <v>0</v>
      </c>
      <c r="HB136" s="701" t="str">
        <f t="shared" si="588"/>
        <v/>
      </c>
      <c r="HC136" s="66">
        <f t="shared" si="563"/>
        <v>0</v>
      </c>
      <c r="HF136" s="701" t="str">
        <f t="shared" si="589"/>
        <v/>
      </c>
      <c r="HG136" s="66">
        <f t="shared" si="564"/>
        <v>0</v>
      </c>
      <c r="HJ136" s="701" t="str">
        <f t="shared" si="590"/>
        <v/>
      </c>
      <c r="HK136" s="66">
        <f t="shared" si="565"/>
        <v>0</v>
      </c>
      <c r="HN136" s="701" t="str">
        <f t="shared" si="591"/>
        <v/>
      </c>
      <c r="HO136" s="66">
        <f t="shared" si="566"/>
        <v>0</v>
      </c>
      <c r="HR136" s="701" t="str">
        <f t="shared" si="592"/>
        <v/>
      </c>
      <c r="HS136" s="66">
        <f t="shared" si="567"/>
        <v>0</v>
      </c>
      <c r="HV136" s="701" t="str">
        <f t="shared" si="593"/>
        <v/>
      </c>
      <c r="HW136" s="66">
        <f t="shared" si="568"/>
        <v>0</v>
      </c>
      <c r="HZ136" s="701" t="str">
        <f t="shared" si="594"/>
        <v/>
      </c>
      <c r="IA136" s="66">
        <f t="shared" si="569"/>
        <v>0</v>
      </c>
      <c r="ID136" s="701" t="str">
        <f t="shared" si="595"/>
        <v/>
      </c>
      <c r="IE136" s="66">
        <f t="shared" si="570"/>
        <v>0</v>
      </c>
      <c r="IH136" s="701" t="str">
        <f t="shared" si="596"/>
        <v/>
      </c>
      <c r="II136" s="66">
        <f t="shared" si="571"/>
        <v>0</v>
      </c>
      <c r="IL136" s="701" t="str">
        <f t="shared" si="597"/>
        <v/>
      </c>
      <c r="IM136" s="66">
        <f t="shared" si="572"/>
        <v>0</v>
      </c>
      <c r="IP136" s="701" t="str">
        <f t="shared" si="598"/>
        <v/>
      </c>
      <c r="IQ136" s="66">
        <f t="shared" si="573"/>
        <v>0</v>
      </c>
      <c r="IT136" s="701" t="str">
        <f t="shared" si="599"/>
        <v/>
      </c>
      <c r="IU136" s="66">
        <f t="shared" si="574"/>
        <v>0</v>
      </c>
      <c r="IX136" s="701" t="str">
        <f t="shared" si="600"/>
        <v/>
      </c>
      <c r="IY136" s="66">
        <f t="shared" si="575"/>
        <v>0</v>
      </c>
    </row>
    <row r="137" spans="42:259" ht="13.3" thickTop="1" thickBot="1" x14ac:dyDescent="0.35">
      <c r="AR137" s="1"/>
      <c r="AT137" s="1380">
        <f t="shared" si="657"/>
        <v>1</v>
      </c>
      <c r="AU137" s="1222">
        <f t="shared" si="651"/>
        <v>1</v>
      </c>
      <c r="AV137" s="1219">
        <f t="shared" si="652"/>
        <v>0</v>
      </c>
      <c r="AW137" s="1384">
        <f t="shared" si="648"/>
        <v>0</v>
      </c>
      <c r="AX137" s="1220">
        <f t="shared" si="649"/>
        <v>1</v>
      </c>
      <c r="AY137" s="2">
        <f t="shared" si="653"/>
        <v>5</v>
      </c>
      <c r="AZ137" s="2">
        <f t="shared" ref="AZ137:BI137" si="661">IF($AU$7*AZ$129-$H32&lt;-$AU$7,$AU$7,$AU$7*AZ$129-$H32)</f>
        <v>5</v>
      </c>
      <c r="BA137" s="2">
        <f t="shared" si="661"/>
        <v>10</v>
      </c>
      <c r="BB137" s="2">
        <f t="shared" si="661"/>
        <v>15</v>
      </c>
      <c r="BC137" s="2">
        <f t="shared" si="661"/>
        <v>20</v>
      </c>
      <c r="BD137" s="2">
        <f t="shared" si="661"/>
        <v>25</v>
      </c>
      <c r="BE137" s="2">
        <f t="shared" si="661"/>
        <v>30</v>
      </c>
      <c r="BF137" s="2">
        <f t="shared" si="661"/>
        <v>35</v>
      </c>
      <c r="BG137" s="2">
        <f t="shared" si="661"/>
        <v>40</v>
      </c>
      <c r="BH137" s="2">
        <f t="shared" si="661"/>
        <v>45</v>
      </c>
      <c r="BI137" s="2">
        <f t="shared" si="661"/>
        <v>50</v>
      </c>
      <c r="BJ137" s="2">
        <v>8</v>
      </c>
      <c r="BK137" s="1488">
        <f t="shared" si="620"/>
        <v>1</v>
      </c>
      <c r="BL137" s="827">
        <f t="shared" si="601"/>
        <v>0</v>
      </c>
      <c r="BM137" s="216">
        <f t="shared" si="621"/>
        <v>0</v>
      </c>
      <c r="BN137" s="216">
        <f t="shared" si="602"/>
        <v>0</v>
      </c>
      <c r="BO137" s="216">
        <f t="shared" si="603"/>
        <v>0</v>
      </c>
      <c r="BP137" s="216">
        <f t="shared" si="604"/>
        <v>0</v>
      </c>
      <c r="BQ137" s="216">
        <f t="shared" si="605"/>
        <v>0</v>
      </c>
      <c r="BR137" s="216">
        <f t="shared" si="606"/>
        <v>0</v>
      </c>
      <c r="BS137" s="216">
        <f t="shared" si="607"/>
        <v>0</v>
      </c>
      <c r="BT137" s="216">
        <f t="shared" si="608"/>
        <v>0</v>
      </c>
      <c r="BU137" s="827">
        <f t="shared" si="622"/>
        <v>0</v>
      </c>
      <c r="BV137" s="828">
        <f t="shared" si="609"/>
        <v>0</v>
      </c>
      <c r="BW137" s="828">
        <f t="shared" si="610"/>
        <v>0</v>
      </c>
      <c r="BX137" s="1">
        <f t="shared" si="611"/>
        <v>0</v>
      </c>
      <c r="BY137" s="1">
        <f t="shared" si="623"/>
        <v>0</v>
      </c>
      <c r="BZ137" s="827">
        <f t="shared" si="624"/>
        <v>0</v>
      </c>
      <c r="CA137" s="1">
        <f t="shared" si="612"/>
        <v>0</v>
      </c>
      <c r="CB137" s="1">
        <f t="shared" si="625"/>
        <v>0</v>
      </c>
      <c r="CC137" s="827">
        <f t="shared" si="626"/>
        <v>0</v>
      </c>
      <c r="CD137" s="1">
        <f t="shared" si="613"/>
        <v>0</v>
      </c>
      <c r="CE137" s="1">
        <f t="shared" si="627"/>
        <v>0</v>
      </c>
      <c r="CF137" s="827">
        <f t="shared" si="628"/>
        <v>0</v>
      </c>
      <c r="CG137" s="1">
        <f t="shared" si="614"/>
        <v>0</v>
      </c>
      <c r="CH137" s="1">
        <f t="shared" si="629"/>
        <v>0</v>
      </c>
      <c r="CI137" s="827">
        <f t="shared" si="630"/>
        <v>0</v>
      </c>
      <c r="CJ137" s="1">
        <f t="shared" si="615"/>
        <v>0</v>
      </c>
      <c r="CK137" s="1">
        <f t="shared" si="631"/>
        <v>0</v>
      </c>
      <c r="CL137" s="827">
        <f t="shared" si="632"/>
        <v>0</v>
      </c>
      <c r="CM137" s="1">
        <f t="shared" si="616"/>
        <v>0</v>
      </c>
      <c r="CN137" s="1">
        <f t="shared" si="633"/>
        <v>0</v>
      </c>
      <c r="CO137" s="827">
        <f t="shared" si="634"/>
        <v>0</v>
      </c>
      <c r="CP137" s="1">
        <f t="shared" si="617"/>
        <v>0</v>
      </c>
      <c r="CQ137" s="1">
        <f t="shared" si="635"/>
        <v>0</v>
      </c>
      <c r="CR137" s="827">
        <f t="shared" si="636"/>
        <v>0</v>
      </c>
      <c r="CS137" s="1">
        <f t="shared" si="618"/>
        <v>0</v>
      </c>
      <c r="CT137" s="1">
        <f t="shared" si="637"/>
        <v>0</v>
      </c>
      <c r="CU137" s="827">
        <f t="shared" si="638"/>
        <v>0</v>
      </c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</row>
    <row r="138" spans="42:259" ht="13.3" thickTop="1" thickBot="1" x14ac:dyDescent="0.35">
      <c r="AR138" s="1"/>
      <c r="AT138" s="1380">
        <f t="shared" si="657"/>
        <v>1</v>
      </c>
      <c r="AU138" s="1222">
        <f t="shared" si="651"/>
        <v>1</v>
      </c>
      <c r="AV138" s="1219">
        <f t="shared" si="652"/>
        <v>0</v>
      </c>
      <c r="AW138" s="1384">
        <f t="shared" si="648"/>
        <v>0</v>
      </c>
      <c r="AX138" s="1220">
        <f t="shared" si="649"/>
        <v>1</v>
      </c>
      <c r="AY138" s="2">
        <f t="shared" si="653"/>
        <v>5</v>
      </c>
      <c r="AZ138" s="2">
        <f t="shared" ref="AZ138:BI138" si="662">IF($AU$7*AZ$129-$H33&lt;-$AU$7,$AU$7,$AU$7*AZ$129-$H33)</f>
        <v>5</v>
      </c>
      <c r="BA138" s="2">
        <f t="shared" si="662"/>
        <v>10</v>
      </c>
      <c r="BB138" s="2">
        <f t="shared" si="662"/>
        <v>15</v>
      </c>
      <c r="BC138" s="2">
        <f t="shared" si="662"/>
        <v>20</v>
      </c>
      <c r="BD138" s="2">
        <f t="shared" si="662"/>
        <v>25</v>
      </c>
      <c r="BE138" s="2">
        <f t="shared" si="662"/>
        <v>30</v>
      </c>
      <c r="BF138" s="2">
        <f t="shared" si="662"/>
        <v>35</v>
      </c>
      <c r="BG138" s="2">
        <f t="shared" si="662"/>
        <v>40</v>
      </c>
      <c r="BH138" s="2">
        <f t="shared" si="662"/>
        <v>45</v>
      </c>
      <c r="BI138" s="2">
        <f t="shared" si="662"/>
        <v>50</v>
      </c>
      <c r="BJ138" s="2">
        <v>9</v>
      </c>
      <c r="BK138" s="1488">
        <f t="shared" si="620"/>
        <v>1</v>
      </c>
      <c r="BL138" s="827">
        <f t="shared" si="601"/>
        <v>0</v>
      </c>
      <c r="BM138" s="216">
        <f t="shared" si="621"/>
        <v>0</v>
      </c>
      <c r="BN138" s="216">
        <f t="shared" si="602"/>
        <v>0</v>
      </c>
      <c r="BO138" s="216">
        <f t="shared" si="603"/>
        <v>0</v>
      </c>
      <c r="BP138" s="216">
        <f t="shared" si="604"/>
        <v>0</v>
      </c>
      <c r="BQ138" s="216">
        <f t="shared" si="605"/>
        <v>0</v>
      </c>
      <c r="BR138" s="216">
        <f t="shared" si="606"/>
        <v>0</v>
      </c>
      <c r="BS138" s="216">
        <f t="shared" si="607"/>
        <v>0</v>
      </c>
      <c r="BT138" s="216">
        <f t="shared" si="608"/>
        <v>0</v>
      </c>
      <c r="BU138" s="827">
        <f t="shared" si="622"/>
        <v>0</v>
      </c>
      <c r="BV138" s="828">
        <f t="shared" si="609"/>
        <v>0</v>
      </c>
      <c r="BW138" s="828">
        <f t="shared" si="610"/>
        <v>0</v>
      </c>
      <c r="BX138" s="1">
        <f t="shared" si="611"/>
        <v>0</v>
      </c>
      <c r="BY138" s="1">
        <f t="shared" si="623"/>
        <v>0</v>
      </c>
      <c r="BZ138" s="827">
        <f t="shared" si="624"/>
        <v>0</v>
      </c>
      <c r="CA138" s="1">
        <f t="shared" si="612"/>
        <v>0</v>
      </c>
      <c r="CB138" s="1">
        <f t="shared" si="625"/>
        <v>0</v>
      </c>
      <c r="CC138" s="827">
        <f t="shared" si="626"/>
        <v>0</v>
      </c>
      <c r="CD138" s="1">
        <f t="shared" si="613"/>
        <v>0</v>
      </c>
      <c r="CE138" s="1">
        <f t="shared" si="627"/>
        <v>0</v>
      </c>
      <c r="CF138" s="827">
        <f t="shared" si="628"/>
        <v>0</v>
      </c>
      <c r="CG138" s="1">
        <f t="shared" si="614"/>
        <v>0</v>
      </c>
      <c r="CH138" s="1">
        <f t="shared" si="629"/>
        <v>0</v>
      </c>
      <c r="CI138" s="827">
        <f t="shared" si="630"/>
        <v>0</v>
      </c>
      <c r="CJ138" s="1">
        <f t="shared" si="615"/>
        <v>0</v>
      </c>
      <c r="CK138" s="1">
        <f t="shared" si="631"/>
        <v>0</v>
      </c>
      <c r="CL138" s="827">
        <f t="shared" si="632"/>
        <v>0</v>
      </c>
      <c r="CM138" s="1">
        <f t="shared" si="616"/>
        <v>0</v>
      </c>
      <c r="CN138" s="1">
        <f t="shared" si="633"/>
        <v>0</v>
      </c>
      <c r="CO138" s="827">
        <f t="shared" si="634"/>
        <v>0</v>
      </c>
      <c r="CP138" s="1">
        <f t="shared" si="617"/>
        <v>0</v>
      </c>
      <c r="CQ138" s="1">
        <f t="shared" si="635"/>
        <v>0</v>
      </c>
      <c r="CR138" s="827">
        <f t="shared" si="636"/>
        <v>0</v>
      </c>
      <c r="CS138" s="1">
        <f t="shared" si="618"/>
        <v>0</v>
      </c>
      <c r="CT138" s="1">
        <f t="shared" si="637"/>
        <v>0</v>
      </c>
      <c r="CU138" s="827">
        <f t="shared" si="638"/>
        <v>0</v>
      </c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FE138" s="727" t="s">
        <v>541</v>
      </c>
      <c r="FF138" s="120"/>
      <c r="FG138" s="450">
        <f>FG22</f>
        <v>1</v>
      </c>
      <c r="FH138" s="33"/>
      <c r="FI138" s="450">
        <f>FG138+1</f>
        <v>2</v>
      </c>
      <c r="FL138" s="450">
        <f>FI138+1</f>
        <v>3</v>
      </c>
      <c r="FP138" s="450">
        <f>FL138+1</f>
        <v>4</v>
      </c>
      <c r="FT138" s="450">
        <f>FP138+1</f>
        <v>5</v>
      </c>
      <c r="FX138" s="450">
        <f>FT138+1</f>
        <v>6</v>
      </c>
      <c r="GB138" s="450">
        <f>FX138+1</f>
        <v>7</v>
      </c>
      <c r="GF138" s="450">
        <f>GB138+1</f>
        <v>8</v>
      </c>
      <c r="GJ138" s="450">
        <f>GF138+1</f>
        <v>9</v>
      </c>
      <c r="GN138" s="450">
        <f>GJ138+1</f>
        <v>10</v>
      </c>
      <c r="GR138" s="450">
        <f>GN138+1</f>
        <v>11</v>
      </c>
      <c r="GV138" s="450">
        <f>GR138+1</f>
        <v>12</v>
      </c>
      <c r="GZ138" s="450">
        <f>GV138+1</f>
        <v>13</v>
      </c>
      <c r="HD138" s="450">
        <f>GZ138+1</f>
        <v>14</v>
      </c>
      <c r="HH138" s="450">
        <f>HD138+1</f>
        <v>15</v>
      </c>
      <c r="HL138" s="450">
        <f>HH138+1</f>
        <v>16</v>
      </c>
      <c r="HP138" s="450">
        <f>HL138+1</f>
        <v>17</v>
      </c>
      <c r="HT138" s="450">
        <f>HP138+1</f>
        <v>18</v>
      </c>
      <c r="HX138" s="450">
        <f>HT138+1</f>
        <v>19</v>
      </c>
      <c r="IB138" s="450">
        <f>HX138+1</f>
        <v>20</v>
      </c>
      <c r="IF138" s="450">
        <f>IB138+1</f>
        <v>21</v>
      </c>
      <c r="IJ138" s="450">
        <f>IF138+1</f>
        <v>22</v>
      </c>
      <c r="IN138" s="450">
        <f>IJ138+1</f>
        <v>23</v>
      </c>
      <c r="IR138" s="450">
        <f>IN138+1</f>
        <v>24</v>
      </c>
      <c r="IV138" s="450">
        <f>IR138+1</f>
        <v>25</v>
      </c>
    </row>
    <row r="139" spans="42:259" ht="14.15" thickTop="1" thickBot="1" x14ac:dyDescent="0.35">
      <c r="AR139" s="1"/>
      <c r="AT139" s="1380">
        <f t="shared" si="657"/>
        <v>1</v>
      </c>
      <c r="AU139" s="1222">
        <f t="shared" si="651"/>
        <v>1</v>
      </c>
      <c r="AV139" s="1219">
        <f t="shared" si="652"/>
        <v>0</v>
      </c>
      <c r="AW139" s="1384">
        <f t="shared" si="648"/>
        <v>0</v>
      </c>
      <c r="AX139" s="1220">
        <f t="shared" si="649"/>
        <v>1</v>
      </c>
      <c r="AY139" s="2">
        <f t="shared" si="653"/>
        <v>5</v>
      </c>
      <c r="AZ139" s="2">
        <f t="shared" ref="AZ139:BI139" si="663">IF($AU$7*AZ$129-$H34&lt;-$AU$7,$AU$7,$AU$7*AZ$129-$H34)</f>
        <v>5</v>
      </c>
      <c r="BA139" s="2">
        <f t="shared" si="663"/>
        <v>10</v>
      </c>
      <c r="BB139" s="2">
        <f t="shared" si="663"/>
        <v>15</v>
      </c>
      <c r="BC139" s="2">
        <f t="shared" si="663"/>
        <v>20</v>
      </c>
      <c r="BD139" s="2">
        <f t="shared" si="663"/>
        <v>25</v>
      </c>
      <c r="BE139" s="2">
        <f t="shared" si="663"/>
        <v>30</v>
      </c>
      <c r="BF139" s="2">
        <f t="shared" si="663"/>
        <v>35</v>
      </c>
      <c r="BG139" s="2">
        <f t="shared" si="663"/>
        <v>40</v>
      </c>
      <c r="BH139" s="2">
        <f t="shared" si="663"/>
        <v>45</v>
      </c>
      <c r="BI139" s="2">
        <f t="shared" si="663"/>
        <v>50</v>
      </c>
      <c r="BJ139" s="2">
        <v>10</v>
      </c>
      <c r="BK139" s="1488">
        <f t="shared" si="620"/>
        <v>1</v>
      </c>
      <c r="BL139" s="827">
        <f t="shared" si="601"/>
        <v>0</v>
      </c>
      <c r="BM139" s="216">
        <f t="shared" si="621"/>
        <v>0</v>
      </c>
      <c r="BN139" s="216">
        <f t="shared" si="602"/>
        <v>0</v>
      </c>
      <c r="BO139" s="216">
        <f t="shared" si="603"/>
        <v>0</v>
      </c>
      <c r="BP139" s="216">
        <f t="shared" si="604"/>
        <v>0</v>
      </c>
      <c r="BQ139" s="216">
        <f t="shared" si="605"/>
        <v>0</v>
      </c>
      <c r="BR139" s="216">
        <f t="shared" si="606"/>
        <v>0</v>
      </c>
      <c r="BS139" s="216">
        <f t="shared" si="607"/>
        <v>0</v>
      </c>
      <c r="BT139" s="216">
        <f t="shared" si="608"/>
        <v>0</v>
      </c>
      <c r="BU139" s="827">
        <f t="shared" si="622"/>
        <v>0</v>
      </c>
      <c r="BV139" s="828">
        <f t="shared" si="609"/>
        <v>0</v>
      </c>
      <c r="BW139" s="828">
        <f t="shared" si="610"/>
        <v>0</v>
      </c>
      <c r="BX139" s="1">
        <f t="shared" si="611"/>
        <v>0</v>
      </c>
      <c r="BY139" s="1">
        <f t="shared" si="623"/>
        <v>0</v>
      </c>
      <c r="BZ139" s="827">
        <f t="shared" si="624"/>
        <v>0</v>
      </c>
      <c r="CA139" s="1">
        <f t="shared" si="612"/>
        <v>0</v>
      </c>
      <c r="CB139" s="1">
        <f t="shared" si="625"/>
        <v>0</v>
      </c>
      <c r="CC139" s="827">
        <f t="shared" si="626"/>
        <v>0</v>
      </c>
      <c r="CD139" s="1">
        <f t="shared" si="613"/>
        <v>0</v>
      </c>
      <c r="CE139" s="1">
        <f t="shared" si="627"/>
        <v>0</v>
      </c>
      <c r="CF139" s="827">
        <f t="shared" si="628"/>
        <v>0</v>
      </c>
      <c r="CG139" s="1">
        <f t="shared" si="614"/>
        <v>0</v>
      </c>
      <c r="CH139" s="1">
        <f t="shared" si="629"/>
        <v>0</v>
      </c>
      <c r="CI139" s="827">
        <f t="shared" si="630"/>
        <v>0</v>
      </c>
      <c r="CJ139" s="1">
        <f t="shared" si="615"/>
        <v>0</v>
      </c>
      <c r="CK139" s="1">
        <f t="shared" si="631"/>
        <v>0</v>
      </c>
      <c r="CL139" s="827">
        <f t="shared" si="632"/>
        <v>0</v>
      </c>
      <c r="CM139" s="1">
        <f t="shared" si="616"/>
        <v>0</v>
      </c>
      <c r="CN139" s="1">
        <f t="shared" si="633"/>
        <v>0</v>
      </c>
      <c r="CO139" s="827">
        <f t="shared" si="634"/>
        <v>0</v>
      </c>
      <c r="CP139" s="1">
        <f t="shared" si="617"/>
        <v>0</v>
      </c>
      <c r="CQ139" s="1">
        <f t="shared" si="635"/>
        <v>0</v>
      </c>
      <c r="CR139" s="827">
        <f t="shared" si="636"/>
        <v>0</v>
      </c>
      <c r="CS139" s="1">
        <f t="shared" si="618"/>
        <v>0</v>
      </c>
      <c r="CT139" s="1">
        <f t="shared" si="637"/>
        <v>0</v>
      </c>
      <c r="CU139" s="827">
        <f t="shared" si="638"/>
        <v>0</v>
      </c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FC139" s="729" t="s">
        <v>129</v>
      </c>
      <c r="FD139" s="732"/>
      <c r="FE139" s="268" t="s">
        <v>542</v>
      </c>
      <c r="FF139" s="273" t="s">
        <v>77</v>
      </c>
      <c r="FG139" s="62" t="s">
        <v>75</v>
      </c>
      <c r="FH139" s="108" t="s">
        <v>543</v>
      </c>
      <c r="FI139" s="61" t="s">
        <v>73</v>
      </c>
      <c r="FJ139" s="59"/>
      <c r="FK139" s="108" t="s">
        <v>204</v>
      </c>
      <c r="FL139" s="64"/>
      <c r="FM139" s="62" t="s">
        <v>73</v>
      </c>
      <c r="FN139" s="59"/>
      <c r="FO139" s="108" t="s">
        <v>204</v>
      </c>
      <c r="FP139" s="64"/>
      <c r="FQ139" s="62" t="s">
        <v>73</v>
      </c>
      <c r="FR139" s="59"/>
      <c r="FS139" s="108" t="s">
        <v>204</v>
      </c>
      <c r="FT139" s="64"/>
      <c r="FU139" s="62" t="s">
        <v>73</v>
      </c>
      <c r="FV139" s="59"/>
      <c r="FW139" s="108" t="s">
        <v>204</v>
      </c>
      <c r="FX139" s="64"/>
      <c r="FY139" s="62" t="s">
        <v>73</v>
      </c>
      <c r="FZ139" s="59"/>
      <c r="GA139" s="108" t="s">
        <v>204</v>
      </c>
      <c r="GB139" s="64"/>
      <c r="GC139" s="62" t="s">
        <v>73</v>
      </c>
      <c r="GD139" s="59"/>
      <c r="GE139" s="108" t="s">
        <v>204</v>
      </c>
      <c r="GF139" s="64"/>
      <c r="GG139" s="62" t="s">
        <v>73</v>
      </c>
      <c r="GH139" s="59"/>
      <c r="GI139" s="108" t="s">
        <v>204</v>
      </c>
      <c r="GJ139" s="64"/>
      <c r="GK139" s="62" t="s">
        <v>73</v>
      </c>
      <c r="GL139" s="59"/>
      <c r="GM139" s="108" t="s">
        <v>204</v>
      </c>
      <c r="GN139" s="64"/>
      <c r="GO139" s="62" t="s">
        <v>73</v>
      </c>
      <c r="GP139" s="59"/>
      <c r="GQ139" s="108" t="s">
        <v>204</v>
      </c>
      <c r="GR139" s="64"/>
      <c r="GS139" s="62" t="s">
        <v>73</v>
      </c>
      <c r="GT139" s="59"/>
      <c r="GU139" s="108" t="s">
        <v>204</v>
      </c>
      <c r="GV139" s="64"/>
      <c r="GW139" s="62" t="s">
        <v>73</v>
      </c>
      <c r="GX139" s="59"/>
      <c r="GY139" s="108" t="s">
        <v>204</v>
      </c>
      <c r="GZ139" s="64"/>
      <c r="HA139" s="62" t="s">
        <v>73</v>
      </c>
      <c r="HB139" s="59"/>
      <c r="HC139" s="108" t="s">
        <v>204</v>
      </c>
      <c r="HD139" s="64"/>
      <c r="HE139" s="62" t="s">
        <v>73</v>
      </c>
      <c r="HF139" s="59"/>
      <c r="HG139" s="108" t="s">
        <v>204</v>
      </c>
      <c r="HH139" s="64"/>
      <c r="HI139" s="62" t="s">
        <v>73</v>
      </c>
      <c r="HJ139" s="59"/>
      <c r="HK139" s="108" t="s">
        <v>204</v>
      </c>
      <c r="HL139" s="64"/>
      <c r="HM139" s="62" t="s">
        <v>73</v>
      </c>
      <c r="HN139" s="59"/>
      <c r="HO139" s="108" t="s">
        <v>204</v>
      </c>
      <c r="HP139" s="64"/>
      <c r="HQ139" s="62" t="s">
        <v>73</v>
      </c>
      <c r="HR139" s="59"/>
      <c r="HS139" s="108" t="s">
        <v>204</v>
      </c>
      <c r="HT139" s="64"/>
      <c r="HU139" s="62" t="s">
        <v>73</v>
      </c>
      <c r="HV139" s="59"/>
      <c r="HW139" s="108" t="s">
        <v>204</v>
      </c>
      <c r="HX139" s="64"/>
      <c r="HY139" s="62" t="s">
        <v>73</v>
      </c>
      <c r="HZ139" s="59"/>
      <c r="IA139" s="108" t="s">
        <v>204</v>
      </c>
      <c r="IB139" s="64"/>
      <c r="IC139" s="62" t="s">
        <v>73</v>
      </c>
      <c r="ID139" s="59"/>
      <c r="IE139" s="108" t="s">
        <v>204</v>
      </c>
      <c r="IF139" s="64"/>
      <c r="IG139" s="62" t="s">
        <v>73</v>
      </c>
      <c r="IH139" s="59"/>
      <c r="II139" s="108" t="s">
        <v>204</v>
      </c>
      <c r="IJ139" s="64"/>
      <c r="IK139" s="62" t="s">
        <v>73</v>
      </c>
      <c r="IL139" s="59"/>
      <c r="IM139" s="108" t="s">
        <v>204</v>
      </c>
      <c r="IN139" s="64"/>
      <c r="IO139" s="62" t="s">
        <v>73</v>
      </c>
      <c r="IP139" s="59"/>
      <c r="IQ139" s="108" t="s">
        <v>204</v>
      </c>
      <c r="IR139" s="64"/>
      <c r="IS139" s="62" t="s">
        <v>73</v>
      </c>
      <c r="IT139" s="59"/>
      <c r="IU139" s="108" t="s">
        <v>204</v>
      </c>
      <c r="IV139" s="64"/>
      <c r="IW139" s="62" t="s">
        <v>73</v>
      </c>
      <c r="IX139" s="59"/>
      <c r="IY139" s="108" t="s">
        <v>204</v>
      </c>
    </row>
    <row r="140" spans="42:259" ht="13.3" thickTop="1" thickBot="1" x14ac:dyDescent="0.35">
      <c r="AR140" s="1"/>
      <c r="AT140" s="1380">
        <f t="shared" si="657"/>
        <v>1</v>
      </c>
      <c r="AU140" s="1222">
        <f t="shared" si="651"/>
        <v>1</v>
      </c>
      <c r="AV140" s="1219">
        <f t="shared" si="652"/>
        <v>0</v>
      </c>
      <c r="AW140" s="1384">
        <f t="shared" si="648"/>
        <v>0</v>
      </c>
      <c r="AX140" s="1220">
        <f t="shared" si="649"/>
        <v>1</v>
      </c>
      <c r="AY140" s="2">
        <f t="shared" si="653"/>
        <v>5</v>
      </c>
      <c r="AZ140" s="2">
        <f t="shared" ref="AZ140:BI140" si="664">IF($AU$7*AZ$129-$H35&lt;-$AU$7,$AU$7,$AU$7*AZ$129-$H35)</f>
        <v>5</v>
      </c>
      <c r="BA140" s="2">
        <f t="shared" si="664"/>
        <v>10</v>
      </c>
      <c r="BB140" s="2">
        <f t="shared" si="664"/>
        <v>15</v>
      </c>
      <c r="BC140" s="2">
        <f t="shared" si="664"/>
        <v>20</v>
      </c>
      <c r="BD140" s="2">
        <f t="shared" si="664"/>
        <v>25</v>
      </c>
      <c r="BE140" s="2">
        <f t="shared" si="664"/>
        <v>30</v>
      </c>
      <c r="BF140" s="2">
        <f t="shared" si="664"/>
        <v>35</v>
      </c>
      <c r="BG140" s="2">
        <f t="shared" si="664"/>
        <v>40</v>
      </c>
      <c r="BH140" s="2">
        <f t="shared" si="664"/>
        <v>45</v>
      </c>
      <c r="BI140" s="2">
        <f t="shared" si="664"/>
        <v>50</v>
      </c>
      <c r="BJ140" s="2">
        <v>11</v>
      </c>
      <c r="BX140" s="1">
        <f>IF(MAX(BX115:BX139)=SUM(BX115:BX139),0,IF(MAX(BX115:BX139)&gt;0,MAX(BX115:BX139),0))</f>
        <v>0</v>
      </c>
      <c r="BY140" s="1">
        <f>SUM(BY115:BY139)</f>
        <v>0</v>
      </c>
      <c r="CA140" s="1">
        <f>IF(MAX(CA115:CA139)=SUM(CA115:CA139),0,IF(MAX(CA115:CA139)&gt;0,MAX(CA115:CA139),0))</f>
        <v>0</v>
      </c>
      <c r="CB140" s="1">
        <f>SUM(CB115:CB139)</f>
        <v>0</v>
      </c>
      <c r="CD140" s="1">
        <f>IF(MAX(CD115:CD139)=SUM(CD115:CD139),0,IF(MAX(CD115:CD139)&gt;0,MAX(CD115:CD139),0))</f>
        <v>0</v>
      </c>
      <c r="CE140" s="1">
        <f>SUM(CE115:CE139)</f>
        <v>0</v>
      </c>
      <c r="CG140" s="1">
        <f>IF(MAX(CG115:CG139)=SUM(CG115:CG139),0,IF(MAX(CG115:CG139)&gt;0,MAX(CG115:CG139),0))</f>
        <v>0</v>
      </c>
      <c r="CH140" s="1">
        <f>SUM(CH115:CH139)</f>
        <v>0</v>
      </c>
      <c r="CJ140" s="1">
        <f>IF(MAX(CJ115:CJ139)=SUM(CJ115:CJ139),0,IF(MAX(CJ115:CJ139)&gt;0,MAX(CJ115:CJ139),0))</f>
        <v>0</v>
      </c>
      <c r="CK140" s="1">
        <f>SUM(CK115:CK139)</f>
        <v>0</v>
      </c>
      <c r="CM140" s="1">
        <f>IF(MAX(CM115:CM139)=SUM(CM115:CM139),0,IF(MAX(CM115:CM139)&gt;0,MAX(CM115:CM139),0))</f>
        <v>0</v>
      </c>
      <c r="CN140" s="1">
        <f>SUM(CN115:CN139)</f>
        <v>0</v>
      </c>
      <c r="CP140" s="1">
        <f>IF(MAX(CP115:CP139)=SUM(CP115:CP139),0,IF(MAX(CP115:CP139)&gt;0,MAX(CP115:CP139),0))</f>
        <v>0</v>
      </c>
      <c r="CQ140" s="1">
        <f>SUM(CQ115:CQ139)</f>
        <v>0</v>
      </c>
      <c r="CS140" s="1">
        <f>IF(MAX(CS115:CS139)=SUM(CS115:CS139),0,IF(MAX(CS115:CS139)&gt;0,MAX(CS115:CS139),0))</f>
        <v>0</v>
      </c>
      <c r="CT140" s="1">
        <f>SUM(CT115:CT139)</f>
        <v>0</v>
      </c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494" t="s">
        <v>539</v>
      </c>
      <c r="FC140" s="730" t="s">
        <v>547</v>
      </c>
      <c r="FD140" s="733"/>
      <c r="FE140" s="731">
        <f>MAX(FE141:FE165)</f>
        <v>0</v>
      </c>
      <c r="FF140" s="274"/>
      <c r="FG140" s="67"/>
      <c r="FH140" s="111" t="s">
        <v>78</v>
      </c>
      <c r="FI140" s="68"/>
      <c r="FJ140" s="67"/>
      <c r="FK140" s="111" t="s">
        <v>78</v>
      </c>
      <c r="FL140" s="16"/>
      <c r="FM140" s="67"/>
      <c r="FN140" s="67"/>
      <c r="FO140" s="111" t="s">
        <v>78</v>
      </c>
      <c r="FP140" s="16"/>
      <c r="FQ140" s="67"/>
      <c r="FR140" s="67"/>
      <c r="FS140" s="111" t="s">
        <v>78</v>
      </c>
      <c r="FT140" s="16"/>
      <c r="FU140" s="67"/>
      <c r="FV140" s="67"/>
      <c r="FW140" s="111" t="s">
        <v>78</v>
      </c>
      <c r="FX140" s="16"/>
      <c r="FY140" s="67"/>
      <c r="FZ140" s="67"/>
      <c r="GA140" s="111" t="s">
        <v>78</v>
      </c>
      <c r="GB140" s="16"/>
      <c r="GC140" s="67"/>
      <c r="GD140" s="67"/>
      <c r="GE140" s="111" t="s">
        <v>78</v>
      </c>
      <c r="GF140" s="16"/>
      <c r="GG140" s="67"/>
      <c r="GH140" s="67"/>
      <c r="GI140" s="111" t="s">
        <v>78</v>
      </c>
      <c r="GJ140" s="16"/>
      <c r="GK140" s="67"/>
      <c r="GL140" s="67"/>
      <c r="GM140" s="111" t="s">
        <v>78</v>
      </c>
      <c r="GN140" s="16"/>
      <c r="GO140" s="67"/>
      <c r="GP140" s="67"/>
      <c r="GQ140" s="111" t="s">
        <v>78</v>
      </c>
      <c r="GR140" s="16"/>
      <c r="GS140" s="67"/>
      <c r="GT140" s="67"/>
      <c r="GU140" s="111" t="s">
        <v>78</v>
      </c>
      <c r="GV140" s="16"/>
      <c r="GW140" s="67"/>
      <c r="GX140" s="67"/>
      <c r="GY140" s="111" t="s">
        <v>78</v>
      </c>
      <c r="GZ140" s="16"/>
      <c r="HA140" s="67"/>
      <c r="HB140" s="67"/>
      <c r="HC140" s="111" t="s">
        <v>78</v>
      </c>
      <c r="HD140" s="16"/>
      <c r="HE140" s="67"/>
      <c r="HF140" s="67"/>
      <c r="HG140" s="111" t="s">
        <v>78</v>
      </c>
      <c r="HH140" s="16"/>
      <c r="HI140" s="67"/>
      <c r="HJ140" s="67"/>
      <c r="HK140" s="111" t="s">
        <v>78</v>
      </c>
      <c r="HL140" s="16"/>
      <c r="HM140" s="67"/>
      <c r="HN140" s="67"/>
      <c r="HO140" s="111" t="s">
        <v>78</v>
      </c>
      <c r="HP140" s="16"/>
      <c r="HQ140" s="67"/>
      <c r="HR140" s="67"/>
      <c r="HS140" s="111" t="s">
        <v>78</v>
      </c>
      <c r="HT140" s="16"/>
      <c r="HU140" s="67"/>
      <c r="HV140" s="67"/>
      <c r="HW140" s="111" t="s">
        <v>78</v>
      </c>
      <c r="HX140" s="16"/>
      <c r="HY140" s="67"/>
      <c r="HZ140" s="67"/>
      <c r="IA140" s="111" t="s">
        <v>78</v>
      </c>
      <c r="IB140" s="16"/>
      <c r="IC140" s="67"/>
      <c r="ID140" s="67"/>
      <c r="IE140" s="111" t="s">
        <v>78</v>
      </c>
      <c r="IF140" s="16"/>
      <c r="IG140" s="67"/>
      <c r="IH140" s="67"/>
      <c r="II140" s="111" t="s">
        <v>78</v>
      </c>
      <c r="IJ140" s="16"/>
      <c r="IK140" s="67"/>
      <c r="IL140" s="67"/>
      <c r="IM140" s="111" t="s">
        <v>78</v>
      </c>
      <c r="IN140" s="16"/>
      <c r="IO140" s="67"/>
      <c r="IP140" s="67"/>
      <c r="IQ140" s="111" t="s">
        <v>78</v>
      </c>
      <c r="IR140" s="16"/>
      <c r="IS140" s="67"/>
      <c r="IT140" s="67"/>
      <c r="IU140" s="111" t="s">
        <v>78</v>
      </c>
      <c r="IV140" s="16"/>
      <c r="IW140" s="67"/>
      <c r="IX140" s="67"/>
      <c r="IY140" s="111" t="s">
        <v>78</v>
      </c>
    </row>
    <row r="141" spans="42:259" ht="13.3" thickTop="1" thickBot="1" x14ac:dyDescent="0.35">
      <c r="AR141" s="1"/>
      <c r="AT141" s="1380">
        <f t="shared" si="657"/>
        <v>1</v>
      </c>
      <c r="AU141" s="1222">
        <f t="shared" si="651"/>
        <v>1</v>
      </c>
      <c r="AV141" s="1219">
        <f t="shared" si="652"/>
        <v>0</v>
      </c>
      <c r="AW141" s="1384">
        <f t="shared" si="648"/>
        <v>0</v>
      </c>
      <c r="AX141" s="1220">
        <f t="shared" si="649"/>
        <v>1</v>
      </c>
      <c r="AY141" s="2">
        <f t="shared" si="653"/>
        <v>5</v>
      </c>
      <c r="AZ141" s="2">
        <f t="shared" ref="AZ141:BI141" si="665">IF($AU$7*AZ$129-$H36&lt;-$AU$7,$AU$7,$AU$7*AZ$129-$H36)</f>
        <v>5</v>
      </c>
      <c r="BA141" s="2">
        <f t="shared" si="665"/>
        <v>10</v>
      </c>
      <c r="BB141" s="2">
        <f t="shared" si="665"/>
        <v>15</v>
      </c>
      <c r="BC141" s="2">
        <f t="shared" si="665"/>
        <v>20</v>
      </c>
      <c r="BD141" s="2">
        <f t="shared" si="665"/>
        <v>25</v>
      </c>
      <c r="BE141" s="2">
        <f t="shared" si="665"/>
        <v>30</v>
      </c>
      <c r="BF141" s="2">
        <f t="shared" si="665"/>
        <v>35</v>
      </c>
      <c r="BG141" s="2">
        <f t="shared" si="665"/>
        <v>40</v>
      </c>
      <c r="BH141" s="2">
        <f t="shared" si="665"/>
        <v>45</v>
      </c>
      <c r="BI141" s="2">
        <f t="shared" si="665"/>
        <v>50</v>
      </c>
      <c r="BJ141" s="2">
        <v>12</v>
      </c>
      <c r="BX141" s="1">
        <f>IF(BX140=0,0,IF(BY140&gt;=2,0,MATCH(BX140,BX115:BX139,0)))</f>
        <v>0</v>
      </c>
      <c r="BY141" s="756" t="str">
        <f>IF(OR(BX140=0,BX141=0),"",INDEX(BW115:BW139,BX141))</f>
        <v/>
      </c>
      <c r="CA141" s="1">
        <f>IF(CA140=0,0,IF(CB140&gt;=2,0,MATCH(CA140,CA115:CA139,0)))</f>
        <v>0</v>
      </c>
      <c r="CB141" s="756" t="str">
        <f>IF(OR(CA140=0,CA141=0),"",INDEX(BZ115:BZ139,CA141))</f>
        <v/>
      </c>
      <c r="CD141" s="1">
        <f>IF(CD140=0,0,IF(CE140&gt;=2,0,MATCH(CD140,CD115:CD139,0)))</f>
        <v>0</v>
      </c>
      <c r="CE141" s="756" t="str">
        <f>IF(OR(CD140=0,CD141=0),"",INDEX(CC115:CC139,CD141))</f>
        <v/>
      </c>
      <c r="CG141" s="1">
        <f>IF(CG140=0,0,IF(CH140&gt;=2,0,MATCH(CG140,CG115:CG139,0)))</f>
        <v>0</v>
      </c>
      <c r="CH141" s="756" t="str">
        <f>IF(OR(CG140=0,CG141=0),"",INDEX(CF115:CF139,CG141))</f>
        <v/>
      </c>
      <c r="CJ141" s="1">
        <f>IF(CJ140=0,0,IF(CK140&gt;=2,0,MATCH(CJ140,CJ115:CJ139,0)))</f>
        <v>0</v>
      </c>
      <c r="CK141" s="756" t="str">
        <f>IF(OR(CJ140=0,CJ141=0),"",INDEX(CI115:CI139,CJ141))</f>
        <v/>
      </c>
      <c r="CM141" s="1">
        <f>IF(CM140=0,0,IF(CN140&gt;=2,0,MATCH(CM140,CM115:CM139,0)))</f>
        <v>0</v>
      </c>
      <c r="CN141" s="756" t="str">
        <f>IF(OR(CM140=0,CM141=0),"",INDEX(CL115:CL139,CM141))</f>
        <v/>
      </c>
      <c r="CP141" s="1">
        <f>IF(CP140=0,0,IF(CQ140&gt;=2,0,MATCH(CP140,CP115:CP139,0)))</f>
        <v>0</v>
      </c>
      <c r="CQ141" s="756" t="str">
        <f>IF(OR(CP140=0,CP141=0),"",INDEX(CO115:CO139,CP141))</f>
        <v/>
      </c>
      <c r="CS141" s="1">
        <f>IF(CS140=0,0,IF(CT140&gt;=2,0,MATCH(CS140,CS115:CS139,0)))</f>
        <v>0</v>
      </c>
      <c r="CT141" s="756" t="str">
        <f>IF(OR(CS140=0,CS141=0),"",INDEX(CR115:CR139,CS141))</f>
        <v/>
      </c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>
        <v>1</v>
      </c>
      <c r="FC141" s="735" t="str">
        <f t="shared" ref="FC141:FC165" si="666">IF(OR(FE141="",FE141=0),"",IF(FE141=$FE$140,"Crítico",""))</f>
        <v/>
      </c>
      <c r="FD141" s="734" t="str">
        <f>IF(FC141="","",1)</f>
        <v/>
      </c>
      <c r="FE141" s="18">
        <f t="shared" ref="FE141:FE165" si="667">FH141+FK141+FO141+FS141+FW141+GA141+GE141+GI141+GM141+GQ141+GU141+GY141+HC141+HG141+HK141+HO141+HS141+HW141+IA141+IE141+II141+IM141+IQ141+IU141+IY141</f>
        <v>0</v>
      </c>
      <c r="FF141" s="275" t="str">
        <f t="shared" ref="FF141:FF165" si="668">IF(OR(F25="",G25=""),"",F25)</f>
        <v/>
      </c>
      <c r="FG141" s="145" t="str">
        <f t="shared" ref="FG141:FG165" si="669">IF(OR(F25="",G25=""),"",G25)</f>
        <v/>
      </c>
      <c r="FH141" s="726">
        <f t="shared" ref="FH141:FH165" si="670">IF(OR($K25="",$K25=0),0,$K25*$AU$19*($B$18))</f>
        <v>0</v>
      </c>
      <c r="FI141" s="718"/>
      <c r="FJ141" s="701" t="str">
        <f>FJ112</f>
        <v/>
      </c>
      <c r="FK141" s="66">
        <f t="shared" ref="FK141:FK165" si="671">IF(FJ141="",0,LOOKUP(FJ141,$EY$141:$EY$165,$FH$141:$FH$165))</f>
        <v>0</v>
      </c>
      <c r="FL141" s="715"/>
      <c r="FM141" s="716"/>
      <c r="FN141" s="701" t="str">
        <f>FN112</f>
        <v/>
      </c>
      <c r="FO141" s="66">
        <f t="shared" ref="FO141:FO165" si="672">IF(FN141="",0,LOOKUP(FN141,$EY$141:$EY$165,$FH$141:$FH$165))</f>
        <v>0</v>
      </c>
      <c r="FP141" s="715"/>
      <c r="FQ141" s="716"/>
      <c r="FR141" s="701" t="str">
        <f>FR112</f>
        <v/>
      </c>
      <c r="FS141" s="66">
        <f t="shared" ref="FS141:FS165" si="673">IF(FR141="",0,LOOKUP(FR141,$EY$141:$EY$165,$FH$141:$FH$165))</f>
        <v>0</v>
      </c>
      <c r="FT141" s="715"/>
      <c r="FU141" s="716"/>
      <c r="FV141" s="701" t="str">
        <f>FV112</f>
        <v/>
      </c>
      <c r="FW141" s="66">
        <f t="shared" ref="FW141:FW165" si="674">IF(FV141="",0,LOOKUP(FV141,$EY$141:$EY$165,$FH$141:$FH$165))</f>
        <v>0</v>
      </c>
      <c r="FX141" s="715"/>
      <c r="FY141" s="716"/>
      <c r="FZ141" s="701" t="str">
        <f>FZ112</f>
        <v/>
      </c>
      <c r="GA141" s="66">
        <f t="shared" ref="GA141:GA165" si="675">IF(FZ141="",0,LOOKUP(FZ141,$EY$141:$EY$165,$FH$141:$FH$165))</f>
        <v>0</v>
      </c>
      <c r="GB141" s="715"/>
      <c r="GC141" s="716"/>
      <c r="GD141" s="701" t="str">
        <f>GD112</f>
        <v/>
      </c>
      <c r="GE141" s="66">
        <f t="shared" ref="GE141:GE165" si="676">IF(GD141="",0,LOOKUP(GD141,$EY$141:$EY$165,$FH$141:$FH$165))</f>
        <v>0</v>
      </c>
      <c r="GF141" s="715"/>
      <c r="GG141" s="716"/>
      <c r="GH141" s="701" t="str">
        <f>GH112</f>
        <v/>
      </c>
      <c r="GI141" s="66">
        <f t="shared" ref="GI141:GI165" si="677">IF(GH141="",0,LOOKUP(GH141,$EY$141:$EY$165,$FH$141:$FH$165))</f>
        <v>0</v>
      </c>
      <c r="GJ141" s="715"/>
      <c r="GK141" s="716"/>
      <c r="GL141" s="701" t="str">
        <f>GL112</f>
        <v/>
      </c>
      <c r="GM141" s="66">
        <f t="shared" ref="GM141:GM165" si="678">IF(GL141="",0,LOOKUP(GL141,$EY$141:$EY$165,$FH$141:$FH$165))</f>
        <v>0</v>
      </c>
      <c r="GN141" s="715"/>
      <c r="GO141" s="716"/>
      <c r="GP141" s="701" t="str">
        <f>GP112</f>
        <v/>
      </c>
      <c r="GQ141" s="66">
        <f t="shared" ref="GQ141:GQ165" si="679">IF(GP141="",0,LOOKUP(GP141,$EY$141:$EY$165,$FH$141:$FH$165))</f>
        <v>0</v>
      </c>
      <c r="GR141" s="715"/>
      <c r="GS141" s="716"/>
      <c r="GT141" s="701" t="str">
        <f>GT112</f>
        <v/>
      </c>
      <c r="GU141" s="66">
        <f t="shared" ref="GU141:GU165" si="680">IF(GT141="",0,LOOKUP(GT141,$EY$141:$EY$165,$FH$141:$FH$165))</f>
        <v>0</v>
      </c>
      <c r="GV141" s="715"/>
      <c r="GW141" s="716"/>
      <c r="GX141" s="701" t="str">
        <f>GX112</f>
        <v/>
      </c>
      <c r="GY141" s="66">
        <f t="shared" ref="GY141:GY165" si="681">IF(GX141="",0,LOOKUP(GX141,$EY$141:$EY$165,$FH$141:$FH$165))</f>
        <v>0</v>
      </c>
      <c r="GZ141" s="715"/>
      <c r="HA141" s="716"/>
      <c r="HB141" s="701" t="str">
        <f>HB112</f>
        <v/>
      </c>
      <c r="HC141" s="66">
        <f t="shared" ref="HC141:HC165" si="682">IF(HB141="",0,LOOKUP(HB141,$EY$141:$EY$165,$FH$141:$FH$165))</f>
        <v>0</v>
      </c>
      <c r="HD141" s="715"/>
      <c r="HE141" s="716"/>
      <c r="HF141" s="701" t="str">
        <f>HF112</f>
        <v/>
      </c>
      <c r="HG141" s="66">
        <f t="shared" ref="HG141:HG165" si="683">IF(HF141="",0,LOOKUP(HF141,$EY$141:$EY$165,$FH$141:$FH$165))</f>
        <v>0</v>
      </c>
      <c r="HH141" s="715"/>
      <c r="HI141" s="716"/>
      <c r="HJ141" s="701" t="str">
        <f>HJ112</f>
        <v/>
      </c>
      <c r="HK141" s="66">
        <f t="shared" ref="HK141:HK165" si="684">IF(HJ141="",0,LOOKUP(HJ141,$EY$141:$EY$165,$FH$141:$FH$165))</f>
        <v>0</v>
      </c>
      <c r="HL141" s="715"/>
      <c r="HM141" s="716"/>
      <c r="HN141" s="701" t="str">
        <f>HN112</f>
        <v/>
      </c>
      <c r="HO141" s="66">
        <f t="shared" ref="HO141:HO165" si="685">IF(HN141="",0,LOOKUP(HN141,$EY$141:$EY$165,$FH$141:$FH$165))</f>
        <v>0</v>
      </c>
      <c r="HP141" s="715"/>
      <c r="HQ141" s="716"/>
      <c r="HR141" s="701" t="str">
        <f>HR112</f>
        <v/>
      </c>
      <c r="HS141" s="66">
        <f t="shared" ref="HS141:HS165" si="686">IF(HR141="",0,LOOKUP(HR141,$EY$141:$EY$165,$FH$141:$FH$165))</f>
        <v>0</v>
      </c>
      <c r="HT141" s="715"/>
      <c r="HU141" s="716"/>
      <c r="HV141" s="701" t="str">
        <f>HV112</f>
        <v/>
      </c>
      <c r="HW141" s="66">
        <f t="shared" ref="HW141:HW165" si="687">IF(HV141="",0,LOOKUP(HV141,$EY$141:$EY$165,$FH$141:$FH$165))</f>
        <v>0</v>
      </c>
      <c r="HX141" s="715"/>
      <c r="HY141" s="716"/>
      <c r="HZ141" s="701" t="str">
        <f>HZ112</f>
        <v/>
      </c>
      <c r="IA141" s="66">
        <f t="shared" ref="IA141:IA165" si="688">IF(HZ141="",0,LOOKUP(HZ141,$EY$141:$EY$165,$FH$141:$FH$165))</f>
        <v>0</v>
      </c>
      <c r="IB141" s="715"/>
      <c r="IC141" s="716"/>
      <c r="ID141" s="701" t="str">
        <f>ID112</f>
        <v/>
      </c>
      <c r="IE141" s="66">
        <f t="shared" ref="IE141:IE165" si="689">IF(ID141="",0,LOOKUP(ID141,$EY$141:$EY$165,$FH$141:$FH$165))</f>
        <v>0</v>
      </c>
      <c r="IF141" s="715"/>
      <c r="IG141" s="716"/>
      <c r="IH141" s="701" t="str">
        <f>IH112</f>
        <v/>
      </c>
      <c r="II141" s="66">
        <f t="shared" ref="II141:II165" si="690">IF(IH141="",0,LOOKUP(IH141,$EY$141:$EY$165,$FH$141:$FH$165))</f>
        <v>0</v>
      </c>
      <c r="IJ141" s="715"/>
      <c r="IK141" s="716"/>
      <c r="IL141" s="701" t="str">
        <f>IL112</f>
        <v/>
      </c>
      <c r="IM141" s="66">
        <f t="shared" ref="IM141:IM165" si="691">IF(IL141="",0,LOOKUP(IL141,$EY$141:$EY$165,$FH$141:$FH$165))</f>
        <v>0</v>
      </c>
      <c r="IN141" s="715"/>
      <c r="IO141" s="716"/>
      <c r="IP141" s="701" t="str">
        <f>IP112</f>
        <v/>
      </c>
      <c r="IQ141" s="66">
        <f t="shared" ref="IQ141:IQ165" si="692">IF(IP141="",0,LOOKUP(IP141,$EY$141:$EY$165,$FH$141:$FH$165))</f>
        <v>0</v>
      </c>
      <c r="IR141" s="715"/>
      <c r="IS141" s="716"/>
      <c r="IT141" s="701" t="str">
        <f>IT112</f>
        <v/>
      </c>
      <c r="IU141" s="66">
        <f t="shared" ref="IU141:IU165" si="693">IF(IT141="",0,LOOKUP(IT141,$EY$141:$EY$165,$FH$141:$FH$165))</f>
        <v>0</v>
      </c>
      <c r="IV141" s="715"/>
      <c r="IW141" s="716"/>
      <c r="IX141" s="701" t="str">
        <f>IX112</f>
        <v/>
      </c>
      <c r="IY141" s="66">
        <f t="shared" ref="IY141:IY165" si="694">IF(IX141="",0,LOOKUP(IX141,$EY$141:$EY$165,$FH$141:$FH$165))</f>
        <v>0</v>
      </c>
    </row>
    <row r="142" spans="42:259" ht="13.3" thickTop="1" thickBot="1" x14ac:dyDescent="0.35">
      <c r="AR142" s="1"/>
      <c r="AT142" s="1380">
        <f t="shared" si="657"/>
        <v>1</v>
      </c>
      <c r="AU142" s="1222">
        <f t="shared" si="651"/>
        <v>1</v>
      </c>
      <c r="AV142" s="1219">
        <f t="shared" si="652"/>
        <v>0</v>
      </c>
      <c r="AW142" s="1384">
        <f t="shared" si="648"/>
        <v>0</v>
      </c>
      <c r="AX142" s="1220">
        <f t="shared" si="649"/>
        <v>1</v>
      </c>
      <c r="AY142" s="2">
        <f t="shared" si="653"/>
        <v>5</v>
      </c>
      <c r="AZ142" s="2">
        <f t="shared" ref="AZ142:BI142" si="695">IF($AU$7*AZ$129-$H37&lt;-$AU$7,$AU$7,$AU$7*AZ$129-$H37)</f>
        <v>5</v>
      </c>
      <c r="BA142" s="2">
        <f t="shared" si="695"/>
        <v>10</v>
      </c>
      <c r="BB142" s="2">
        <f t="shared" si="695"/>
        <v>15</v>
      </c>
      <c r="BC142" s="2">
        <f t="shared" si="695"/>
        <v>20</v>
      </c>
      <c r="BD142" s="2">
        <f t="shared" si="695"/>
        <v>25</v>
      </c>
      <c r="BE142" s="2">
        <f t="shared" si="695"/>
        <v>30</v>
      </c>
      <c r="BF142" s="2">
        <f t="shared" si="695"/>
        <v>35</v>
      </c>
      <c r="BG142" s="2">
        <f t="shared" si="695"/>
        <v>40</v>
      </c>
      <c r="BH142" s="2">
        <f t="shared" si="695"/>
        <v>45</v>
      </c>
      <c r="BI142" s="2">
        <f t="shared" si="695"/>
        <v>50</v>
      </c>
      <c r="BJ142" s="2">
        <v>13</v>
      </c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>
        <v>2</v>
      </c>
      <c r="FC142" s="735" t="str">
        <f t="shared" si="666"/>
        <v/>
      </c>
      <c r="FD142" s="734" t="str">
        <f t="shared" ref="FD142:FD165" si="696">IF(FC142="","",1)</f>
        <v/>
      </c>
      <c r="FE142" s="18">
        <f t="shared" si="667"/>
        <v>0</v>
      </c>
      <c r="FF142" s="275" t="str">
        <f t="shared" si="668"/>
        <v/>
      </c>
      <c r="FG142" s="145" t="str">
        <f t="shared" si="669"/>
        <v/>
      </c>
      <c r="FH142" s="726">
        <f t="shared" si="670"/>
        <v>0</v>
      </c>
      <c r="FI142" s="718"/>
      <c r="FJ142" s="701" t="str">
        <f t="shared" ref="FJ142:FJ165" si="697">FJ113</f>
        <v/>
      </c>
      <c r="FK142" s="66">
        <f t="shared" si="671"/>
        <v>0</v>
      </c>
      <c r="FL142" s="717"/>
      <c r="FM142" s="716"/>
      <c r="FN142" s="701" t="str">
        <f t="shared" ref="FN142:FN165" si="698">FN113</f>
        <v/>
      </c>
      <c r="FO142" s="66">
        <f t="shared" si="672"/>
        <v>0</v>
      </c>
      <c r="FP142" s="717"/>
      <c r="FQ142" s="716"/>
      <c r="FR142" s="701" t="str">
        <f t="shared" ref="FR142:FR165" si="699">FR113</f>
        <v/>
      </c>
      <c r="FS142" s="66">
        <f t="shared" si="673"/>
        <v>0</v>
      </c>
      <c r="FT142" s="717"/>
      <c r="FU142" s="716"/>
      <c r="FV142" s="701" t="str">
        <f t="shared" ref="FV142:FV165" si="700">FV113</f>
        <v/>
      </c>
      <c r="FW142" s="66">
        <f t="shared" si="674"/>
        <v>0</v>
      </c>
      <c r="FX142" s="717"/>
      <c r="FY142" s="716"/>
      <c r="FZ142" s="701" t="str">
        <f t="shared" ref="FZ142:FZ165" si="701">FZ113</f>
        <v/>
      </c>
      <c r="GA142" s="66">
        <f t="shared" si="675"/>
        <v>0</v>
      </c>
      <c r="GB142" s="717"/>
      <c r="GC142" s="716"/>
      <c r="GD142" s="701" t="str">
        <f t="shared" ref="GD142:GD165" si="702">GD113</f>
        <v/>
      </c>
      <c r="GE142" s="66">
        <f t="shared" si="676"/>
        <v>0</v>
      </c>
      <c r="GF142" s="717"/>
      <c r="GG142" s="716"/>
      <c r="GH142" s="701" t="str">
        <f t="shared" ref="GH142:GH165" si="703">GH113</f>
        <v/>
      </c>
      <c r="GI142" s="66">
        <f t="shared" si="677"/>
        <v>0</v>
      </c>
      <c r="GJ142" s="717"/>
      <c r="GK142" s="716"/>
      <c r="GL142" s="701" t="str">
        <f t="shared" ref="GL142:GL165" si="704">GL113</f>
        <v/>
      </c>
      <c r="GM142" s="66">
        <f t="shared" si="678"/>
        <v>0</v>
      </c>
      <c r="GN142" s="717"/>
      <c r="GO142" s="716"/>
      <c r="GP142" s="701" t="str">
        <f t="shared" ref="GP142:GP165" si="705">GP113</f>
        <v/>
      </c>
      <c r="GQ142" s="66">
        <f t="shared" si="679"/>
        <v>0</v>
      </c>
      <c r="GR142" s="717"/>
      <c r="GS142" s="716"/>
      <c r="GT142" s="701" t="str">
        <f t="shared" ref="GT142:GT165" si="706">GT113</f>
        <v/>
      </c>
      <c r="GU142" s="66">
        <f t="shared" si="680"/>
        <v>0</v>
      </c>
      <c r="GV142" s="717"/>
      <c r="GW142" s="716"/>
      <c r="GX142" s="701" t="str">
        <f t="shared" ref="GX142:GX165" si="707">GX113</f>
        <v/>
      </c>
      <c r="GY142" s="66">
        <f t="shared" si="681"/>
        <v>0</v>
      </c>
      <c r="GZ142" s="717"/>
      <c r="HA142" s="716"/>
      <c r="HB142" s="701" t="str">
        <f t="shared" ref="HB142:HB165" si="708">HB113</f>
        <v/>
      </c>
      <c r="HC142" s="66">
        <f t="shared" si="682"/>
        <v>0</v>
      </c>
      <c r="HD142" s="717"/>
      <c r="HE142" s="716"/>
      <c r="HF142" s="701" t="str">
        <f t="shared" ref="HF142:HF165" si="709">HF113</f>
        <v/>
      </c>
      <c r="HG142" s="66">
        <f t="shared" si="683"/>
        <v>0</v>
      </c>
      <c r="HH142" s="717"/>
      <c r="HI142" s="716"/>
      <c r="HJ142" s="701" t="str">
        <f t="shared" ref="HJ142:HJ165" si="710">HJ113</f>
        <v/>
      </c>
      <c r="HK142" s="66">
        <f t="shared" si="684"/>
        <v>0</v>
      </c>
      <c r="HL142" s="717"/>
      <c r="HM142" s="716"/>
      <c r="HN142" s="701" t="str">
        <f t="shared" ref="HN142:HN165" si="711">HN113</f>
        <v/>
      </c>
      <c r="HO142" s="66">
        <f t="shared" si="685"/>
        <v>0</v>
      </c>
      <c r="HP142" s="717"/>
      <c r="HQ142" s="716"/>
      <c r="HR142" s="701" t="str">
        <f t="shared" ref="HR142:HR165" si="712">HR113</f>
        <v/>
      </c>
      <c r="HS142" s="66">
        <f t="shared" si="686"/>
        <v>0</v>
      </c>
      <c r="HT142" s="717"/>
      <c r="HU142" s="716"/>
      <c r="HV142" s="701" t="str">
        <f t="shared" ref="HV142:HV165" si="713">HV113</f>
        <v/>
      </c>
      <c r="HW142" s="66">
        <f t="shared" si="687"/>
        <v>0</v>
      </c>
      <c r="HX142" s="717"/>
      <c r="HY142" s="716"/>
      <c r="HZ142" s="701" t="str">
        <f t="shared" ref="HZ142:HZ165" si="714">HZ113</f>
        <v/>
      </c>
      <c r="IA142" s="66">
        <f t="shared" si="688"/>
        <v>0</v>
      </c>
      <c r="IB142" s="717"/>
      <c r="IC142" s="716"/>
      <c r="ID142" s="701" t="str">
        <f t="shared" ref="ID142:ID165" si="715">ID113</f>
        <v/>
      </c>
      <c r="IE142" s="66">
        <f t="shared" si="689"/>
        <v>0</v>
      </c>
      <c r="IF142" s="717"/>
      <c r="IG142" s="716"/>
      <c r="IH142" s="701" t="str">
        <f t="shared" ref="IH142:IH165" si="716">IH113</f>
        <v/>
      </c>
      <c r="II142" s="66">
        <f t="shared" si="690"/>
        <v>0</v>
      </c>
      <c r="IJ142" s="717"/>
      <c r="IK142" s="716"/>
      <c r="IL142" s="701" t="str">
        <f t="shared" ref="IL142:IL165" si="717">IL113</f>
        <v/>
      </c>
      <c r="IM142" s="66">
        <f t="shared" si="691"/>
        <v>0</v>
      </c>
      <c r="IN142" s="717"/>
      <c r="IO142" s="716"/>
      <c r="IP142" s="701" t="str">
        <f t="shared" ref="IP142:IP165" si="718">IP113</f>
        <v/>
      </c>
      <c r="IQ142" s="66">
        <f t="shared" si="692"/>
        <v>0</v>
      </c>
      <c r="IR142" s="717"/>
      <c r="IS142" s="716"/>
      <c r="IT142" s="701" t="str">
        <f t="shared" ref="IT142:IT165" si="719">IT113</f>
        <v/>
      </c>
      <c r="IU142" s="66">
        <f t="shared" si="693"/>
        <v>0</v>
      </c>
      <c r="IV142" s="717"/>
      <c r="IW142" s="716"/>
      <c r="IX142" s="701" t="str">
        <f t="shared" ref="IX142:IX165" si="720">IX113</f>
        <v/>
      </c>
      <c r="IY142" s="66">
        <f t="shared" si="694"/>
        <v>0</v>
      </c>
    </row>
    <row r="143" spans="42:259" ht="13.3" thickTop="1" thickBot="1" x14ac:dyDescent="0.35">
      <c r="AR143" s="1"/>
      <c r="AT143" s="1380">
        <f t="shared" si="657"/>
        <v>1</v>
      </c>
      <c r="AU143" s="1222">
        <f t="shared" si="651"/>
        <v>1</v>
      </c>
      <c r="AV143" s="1219">
        <f t="shared" si="652"/>
        <v>0</v>
      </c>
      <c r="AW143" s="1384">
        <f t="shared" si="648"/>
        <v>0</v>
      </c>
      <c r="AX143" s="1220">
        <f t="shared" si="649"/>
        <v>1</v>
      </c>
      <c r="AY143" s="2">
        <f t="shared" si="653"/>
        <v>5</v>
      </c>
      <c r="AZ143" s="2">
        <f t="shared" ref="AZ143:BI143" si="721">IF($AU$7*AZ$129-$H38&lt;-$AU$7,$AU$7,$AU$7*AZ$129-$H38)</f>
        <v>5</v>
      </c>
      <c r="BA143" s="2">
        <f t="shared" si="721"/>
        <v>10</v>
      </c>
      <c r="BB143" s="2">
        <f t="shared" si="721"/>
        <v>15</v>
      </c>
      <c r="BC143" s="2">
        <f t="shared" si="721"/>
        <v>20</v>
      </c>
      <c r="BD143" s="2">
        <f t="shared" si="721"/>
        <v>25</v>
      </c>
      <c r="BE143" s="2">
        <f t="shared" si="721"/>
        <v>30</v>
      </c>
      <c r="BF143" s="2">
        <f t="shared" si="721"/>
        <v>35</v>
      </c>
      <c r="BG143" s="2">
        <f t="shared" si="721"/>
        <v>40</v>
      </c>
      <c r="BH143" s="2">
        <f t="shared" si="721"/>
        <v>45</v>
      </c>
      <c r="BI143" s="2">
        <f t="shared" si="721"/>
        <v>50</v>
      </c>
      <c r="BJ143" s="2">
        <v>14</v>
      </c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>
        <v>3</v>
      </c>
      <c r="FC143" s="735" t="str">
        <f t="shared" si="666"/>
        <v/>
      </c>
      <c r="FD143" s="734" t="str">
        <f t="shared" si="696"/>
        <v/>
      </c>
      <c r="FE143" s="18">
        <f t="shared" si="667"/>
        <v>0</v>
      </c>
      <c r="FF143" s="275" t="str">
        <f t="shared" si="668"/>
        <v/>
      </c>
      <c r="FG143" s="145" t="str">
        <f t="shared" si="669"/>
        <v/>
      </c>
      <c r="FH143" s="726">
        <f t="shared" si="670"/>
        <v>0</v>
      </c>
      <c r="FI143" s="718"/>
      <c r="FJ143" s="701" t="str">
        <f t="shared" si="697"/>
        <v/>
      </c>
      <c r="FK143" s="66">
        <f t="shared" si="671"/>
        <v>0</v>
      </c>
      <c r="FL143" s="717"/>
      <c r="FM143" s="716"/>
      <c r="FN143" s="701" t="str">
        <f t="shared" si="698"/>
        <v/>
      </c>
      <c r="FO143" s="66">
        <f t="shared" si="672"/>
        <v>0</v>
      </c>
      <c r="FP143" s="717"/>
      <c r="FQ143" s="716"/>
      <c r="FR143" s="701" t="str">
        <f t="shared" si="699"/>
        <v/>
      </c>
      <c r="FS143" s="66">
        <f t="shared" si="673"/>
        <v>0</v>
      </c>
      <c r="FT143" s="717"/>
      <c r="FU143" s="716"/>
      <c r="FV143" s="701" t="str">
        <f t="shared" si="700"/>
        <v/>
      </c>
      <c r="FW143" s="66">
        <f t="shared" si="674"/>
        <v>0</v>
      </c>
      <c r="FX143" s="717"/>
      <c r="FY143" s="716"/>
      <c r="FZ143" s="701" t="str">
        <f t="shared" si="701"/>
        <v/>
      </c>
      <c r="GA143" s="66">
        <f t="shared" si="675"/>
        <v>0</v>
      </c>
      <c r="GB143" s="717"/>
      <c r="GC143" s="716"/>
      <c r="GD143" s="701" t="str">
        <f t="shared" si="702"/>
        <v/>
      </c>
      <c r="GE143" s="66">
        <f t="shared" si="676"/>
        <v>0</v>
      </c>
      <c r="GF143" s="717"/>
      <c r="GG143" s="716"/>
      <c r="GH143" s="701" t="str">
        <f t="shared" si="703"/>
        <v/>
      </c>
      <c r="GI143" s="66">
        <f t="shared" si="677"/>
        <v>0</v>
      </c>
      <c r="GJ143" s="717"/>
      <c r="GK143" s="716"/>
      <c r="GL143" s="701" t="str">
        <f t="shared" si="704"/>
        <v/>
      </c>
      <c r="GM143" s="66">
        <f t="shared" si="678"/>
        <v>0</v>
      </c>
      <c r="GN143" s="717"/>
      <c r="GO143" s="716"/>
      <c r="GP143" s="701" t="str">
        <f t="shared" si="705"/>
        <v/>
      </c>
      <c r="GQ143" s="66">
        <f t="shared" si="679"/>
        <v>0</v>
      </c>
      <c r="GR143" s="717"/>
      <c r="GS143" s="716"/>
      <c r="GT143" s="701" t="str">
        <f t="shared" si="706"/>
        <v/>
      </c>
      <c r="GU143" s="66">
        <f t="shared" si="680"/>
        <v>0</v>
      </c>
      <c r="GV143" s="717"/>
      <c r="GW143" s="716"/>
      <c r="GX143" s="701" t="str">
        <f t="shared" si="707"/>
        <v/>
      </c>
      <c r="GY143" s="66">
        <f t="shared" si="681"/>
        <v>0</v>
      </c>
      <c r="GZ143" s="717"/>
      <c r="HA143" s="716"/>
      <c r="HB143" s="701" t="str">
        <f t="shared" si="708"/>
        <v/>
      </c>
      <c r="HC143" s="66">
        <f t="shared" si="682"/>
        <v>0</v>
      </c>
      <c r="HD143" s="717"/>
      <c r="HE143" s="716"/>
      <c r="HF143" s="701" t="str">
        <f t="shared" si="709"/>
        <v/>
      </c>
      <c r="HG143" s="66">
        <f t="shared" si="683"/>
        <v>0</v>
      </c>
      <c r="HH143" s="717"/>
      <c r="HI143" s="716"/>
      <c r="HJ143" s="701" t="str">
        <f t="shared" si="710"/>
        <v/>
      </c>
      <c r="HK143" s="66">
        <f t="shared" si="684"/>
        <v>0</v>
      </c>
      <c r="HL143" s="717"/>
      <c r="HM143" s="716"/>
      <c r="HN143" s="701" t="str">
        <f t="shared" si="711"/>
        <v/>
      </c>
      <c r="HO143" s="66">
        <f t="shared" si="685"/>
        <v>0</v>
      </c>
      <c r="HP143" s="717"/>
      <c r="HQ143" s="716"/>
      <c r="HR143" s="701" t="str">
        <f t="shared" si="712"/>
        <v/>
      </c>
      <c r="HS143" s="66">
        <f t="shared" si="686"/>
        <v>0</v>
      </c>
      <c r="HT143" s="717"/>
      <c r="HU143" s="716"/>
      <c r="HV143" s="701" t="str">
        <f t="shared" si="713"/>
        <v/>
      </c>
      <c r="HW143" s="66">
        <f t="shared" si="687"/>
        <v>0</v>
      </c>
      <c r="HX143" s="717"/>
      <c r="HY143" s="716"/>
      <c r="HZ143" s="701" t="str">
        <f t="shared" si="714"/>
        <v/>
      </c>
      <c r="IA143" s="66">
        <f t="shared" si="688"/>
        <v>0</v>
      </c>
      <c r="IB143" s="717"/>
      <c r="IC143" s="716"/>
      <c r="ID143" s="701" t="str">
        <f t="shared" si="715"/>
        <v/>
      </c>
      <c r="IE143" s="66">
        <f t="shared" si="689"/>
        <v>0</v>
      </c>
      <c r="IF143" s="717"/>
      <c r="IG143" s="716"/>
      <c r="IH143" s="701" t="str">
        <f t="shared" si="716"/>
        <v/>
      </c>
      <c r="II143" s="66">
        <f t="shared" si="690"/>
        <v>0</v>
      </c>
      <c r="IJ143" s="717"/>
      <c r="IK143" s="716"/>
      <c r="IL143" s="701" t="str">
        <f t="shared" si="717"/>
        <v/>
      </c>
      <c r="IM143" s="66">
        <f t="shared" si="691"/>
        <v>0</v>
      </c>
      <c r="IN143" s="717"/>
      <c r="IO143" s="716"/>
      <c r="IP143" s="701" t="str">
        <f t="shared" si="718"/>
        <v/>
      </c>
      <c r="IQ143" s="66">
        <f t="shared" si="692"/>
        <v>0</v>
      </c>
      <c r="IR143" s="717"/>
      <c r="IS143" s="716"/>
      <c r="IT143" s="701" t="str">
        <f t="shared" si="719"/>
        <v/>
      </c>
      <c r="IU143" s="66">
        <f t="shared" si="693"/>
        <v>0</v>
      </c>
      <c r="IV143" s="717"/>
      <c r="IW143" s="716"/>
      <c r="IX143" s="701" t="str">
        <f t="shared" si="720"/>
        <v/>
      </c>
      <c r="IY143" s="66">
        <f t="shared" si="694"/>
        <v>0</v>
      </c>
    </row>
    <row r="144" spans="42:259" ht="13.3" thickTop="1" thickBot="1" x14ac:dyDescent="0.35">
      <c r="AR144" s="1"/>
      <c r="AT144" s="1380">
        <f t="shared" si="657"/>
        <v>1</v>
      </c>
      <c r="AU144" s="1222">
        <f t="shared" si="651"/>
        <v>1</v>
      </c>
      <c r="AV144" s="1219">
        <f t="shared" si="652"/>
        <v>0</v>
      </c>
      <c r="AW144" s="1384">
        <f t="shared" si="648"/>
        <v>0</v>
      </c>
      <c r="AX144" s="1220">
        <f t="shared" si="649"/>
        <v>1</v>
      </c>
      <c r="AY144" s="2">
        <f t="shared" si="653"/>
        <v>5</v>
      </c>
      <c r="AZ144" s="2">
        <f t="shared" ref="AZ144:BI144" si="722">IF($AU$7*AZ$129-$H39&lt;-$AU$7,$AU$7,$AU$7*AZ$129-$H39)</f>
        <v>5</v>
      </c>
      <c r="BA144" s="2">
        <f t="shared" si="722"/>
        <v>10</v>
      </c>
      <c r="BB144" s="2">
        <f t="shared" si="722"/>
        <v>15</v>
      </c>
      <c r="BC144" s="2">
        <f t="shared" si="722"/>
        <v>20</v>
      </c>
      <c r="BD144" s="2">
        <f t="shared" si="722"/>
        <v>25</v>
      </c>
      <c r="BE144" s="2">
        <f t="shared" si="722"/>
        <v>30</v>
      </c>
      <c r="BF144" s="2">
        <f t="shared" si="722"/>
        <v>35</v>
      </c>
      <c r="BG144" s="2">
        <f t="shared" si="722"/>
        <v>40</v>
      </c>
      <c r="BH144" s="2">
        <f t="shared" si="722"/>
        <v>45</v>
      </c>
      <c r="BI144" s="2">
        <f t="shared" si="722"/>
        <v>50</v>
      </c>
      <c r="BJ144" s="2">
        <v>15</v>
      </c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>
        <v>4</v>
      </c>
      <c r="FC144" s="735" t="str">
        <f t="shared" si="666"/>
        <v/>
      </c>
      <c r="FD144" s="734" t="str">
        <f t="shared" si="696"/>
        <v/>
      </c>
      <c r="FE144" s="18">
        <f t="shared" si="667"/>
        <v>0</v>
      </c>
      <c r="FF144" s="275" t="str">
        <f t="shared" si="668"/>
        <v/>
      </c>
      <c r="FG144" s="145" t="str">
        <f t="shared" si="669"/>
        <v/>
      </c>
      <c r="FH144" s="726">
        <f t="shared" si="670"/>
        <v>0</v>
      </c>
      <c r="FI144" s="718"/>
      <c r="FJ144" s="701" t="str">
        <f t="shared" si="697"/>
        <v/>
      </c>
      <c r="FK144" s="66">
        <f t="shared" si="671"/>
        <v>0</v>
      </c>
      <c r="FL144" s="717"/>
      <c r="FM144" s="716"/>
      <c r="FN144" s="701" t="str">
        <f t="shared" si="698"/>
        <v/>
      </c>
      <c r="FO144" s="66">
        <f t="shared" si="672"/>
        <v>0</v>
      </c>
      <c r="FP144" s="717"/>
      <c r="FQ144" s="716"/>
      <c r="FR144" s="701" t="str">
        <f t="shared" si="699"/>
        <v/>
      </c>
      <c r="FS144" s="66">
        <f t="shared" si="673"/>
        <v>0</v>
      </c>
      <c r="FT144" s="717"/>
      <c r="FU144" s="716"/>
      <c r="FV144" s="701" t="str">
        <f t="shared" si="700"/>
        <v/>
      </c>
      <c r="FW144" s="66">
        <f t="shared" si="674"/>
        <v>0</v>
      </c>
      <c r="FX144" s="717"/>
      <c r="FY144" s="716"/>
      <c r="FZ144" s="701" t="str">
        <f t="shared" si="701"/>
        <v/>
      </c>
      <c r="GA144" s="66">
        <f t="shared" si="675"/>
        <v>0</v>
      </c>
      <c r="GB144" s="717"/>
      <c r="GC144" s="716"/>
      <c r="GD144" s="701" t="str">
        <f t="shared" si="702"/>
        <v/>
      </c>
      <c r="GE144" s="66">
        <f t="shared" si="676"/>
        <v>0</v>
      </c>
      <c r="GF144" s="717"/>
      <c r="GG144" s="716"/>
      <c r="GH144" s="701" t="str">
        <f t="shared" si="703"/>
        <v/>
      </c>
      <c r="GI144" s="66">
        <f t="shared" si="677"/>
        <v>0</v>
      </c>
      <c r="GJ144" s="717"/>
      <c r="GK144" s="716"/>
      <c r="GL144" s="701" t="str">
        <f t="shared" si="704"/>
        <v/>
      </c>
      <c r="GM144" s="66">
        <f t="shared" si="678"/>
        <v>0</v>
      </c>
      <c r="GN144" s="717"/>
      <c r="GO144" s="716"/>
      <c r="GP144" s="701" t="str">
        <f t="shared" si="705"/>
        <v/>
      </c>
      <c r="GQ144" s="66">
        <f t="shared" si="679"/>
        <v>0</v>
      </c>
      <c r="GR144" s="717"/>
      <c r="GS144" s="716"/>
      <c r="GT144" s="701" t="str">
        <f t="shared" si="706"/>
        <v/>
      </c>
      <c r="GU144" s="66">
        <f t="shared" si="680"/>
        <v>0</v>
      </c>
      <c r="GV144" s="717"/>
      <c r="GW144" s="716"/>
      <c r="GX144" s="701" t="str">
        <f t="shared" si="707"/>
        <v/>
      </c>
      <c r="GY144" s="66">
        <f t="shared" si="681"/>
        <v>0</v>
      </c>
      <c r="GZ144" s="717"/>
      <c r="HA144" s="716"/>
      <c r="HB144" s="701" t="str">
        <f t="shared" si="708"/>
        <v/>
      </c>
      <c r="HC144" s="66">
        <f t="shared" si="682"/>
        <v>0</v>
      </c>
      <c r="HD144" s="717"/>
      <c r="HE144" s="716"/>
      <c r="HF144" s="701" t="str">
        <f t="shared" si="709"/>
        <v/>
      </c>
      <c r="HG144" s="66">
        <f t="shared" si="683"/>
        <v>0</v>
      </c>
      <c r="HH144" s="717"/>
      <c r="HI144" s="716"/>
      <c r="HJ144" s="701" t="str">
        <f t="shared" si="710"/>
        <v/>
      </c>
      <c r="HK144" s="66">
        <f t="shared" si="684"/>
        <v>0</v>
      </c>
      <c r="HL144" s="717"/>
      <c r="HM144" s="716"/>
      <c r="HN144" s="701" t="str">
        <f t="shared" si="711"/>
        <v/>
      </c>
      <c r="HO144" s="66">
        <f t="shared" si="685"/>
        <v>0</v>
      </c>
      <c r="HP144" s="717"/>
      <c r="HQ144" s="716"/>
      <c r="HR144" s="701" t="str">
        <f t="shared" si="712"/>
        <v/>
      </c>
      <c r="HS144" s="66">
        <f t="shared" si="686"/>
        <v>0</v>
      </c>
      <c r="HT144" s="717"/>
      <c r="HU144" s="716"/>
      <c r="HV144" s="701" t="str">
        <f t="shared" si="713"/>
        <v/>
      </c>
      <c r="HW144" s="66">
        <f t="shared" si="687"/>
        <v>0</v>
      </c>
      <c r="HX144" s="717"/>
      <c r="HY144" s="716"/>
      <c r="HZ144" s="701" t="str">
        <f t="shared" si="714"/>
        <v/>
      </c>
      <c r="IA144" s="66">
        <f t="shared" si="688"/>
        <v>0</v>
      </c>
      <c r="IB144" s="717"/>
      <c r="IC144" s="716"/>
      <c r="ID144" s="701" t="str">
        <f t="shared" si="715"/>
        <v/>
      </c>
      <c r="IE144" s="66">
        <f t="shared" si="689"/>
        <v>0</v>
      </c>
      <c r="IF144" s="717"/>
      <c r="IG144" s="716"/>
      <c r="IH144" s="701" t="str">
        <f t="shared" si="716"/>
        <v/>
      </c>
      <c r="II144" s="66">
        <f t="shared" si="690"/>
        <v>0</v>
      </c>
      <c r="IJ144" s="717"/>
      <c r="IK144" s="716"/>
      <c r="IL144" s="701" t="str">
        <f t="shared" si="717"/>
        <v/>
      </c>
      <c r="IM144" s="66">
        <f t="shared" si="691"/>
        <v>0</v>
      </c>
      <c r="IN144" s="717"/>
      <c r="IO144" s="716"/>
      <c r="IP144" s="701" t="str">
        <f t="shared" si="718"/>
        <v/>
      </c>
      <c r="IQ144" s="66">
        <f t="shared" si="692"/>
        <v>0</v>
      </c>
      <c r="IR144" s="717"/>
      <c r="IS144" s="716"/>
      <c r="IT144" s="701" t="str">
        <f t="shared" si="719"/>
        <v/>
      </c>
      <c r="IU144" s="66">
        <f t="shared" si="693"/>
        <v>0</v>
      </c>
      <c r="IV144" s="717"/>
      <c r="IW144" s="716"/>
      <c r="IX144" s="701" t="str">
        <f t="shared" si="720"/>
        <v/>
      </c>
      <c r="IY144" s="66">
        <f t="shared" si="694"/>
        <v>0</v>
      </c>
    </row>
    <row r="145" spans="44:259" ht="13.3" thickTop="1" thickBot="1" x14ac:dyDescent="0.35">
      <c r="AR145" s="1"/>
      <c r="AT145" s="1380">
        <f t="shared" si="657"/>
        <v>1</v>
      </c>
      <c r="AU145" s="1222">
        <f t="shared" si="651"/>
        <v>1</v>
      </c>
      <c r="AV145" s="1219">
        <f t="shared" si="652"/>
        <v>0</v>
      </c>
      <c r="AW145" s="1384">
        <f t="shared" si="648"/>
        <v>0</v>
      </c>
      <c r="AX145" s="1220">
        <f t="shared" si="649"/>
        <v>1</v>
      </c>
      <c r="AY145" s="2">
        <f t="shared" si="653"/>
        <v>5</v>
      </c>
      <c r="AZ145" s="2">
        <f t="shared" ref="AZ145:BI145" si="723">IF($AU$7*AZ$129-$H40&lt;-$AU$7,$AU$7,$AU$7*AZ$129-$H40)</f>
        <v>5</v>
      </c>
      <c r="BA145" s="2">
        <f t="shared" si="723"/>
        <v>10</v>
      </c>
      <c r="BB145" s="2">
        <f t="shared" si="723"/>
        <v>15</v>
      </c>
      <c r="BC145" s="2">
        <f t="shared" si="723"/>
        <v>20</v>
      </c>
      <c r="BD145" s="2">
        <f t="shared" si="723"/>
        <v>25</v>
      </c>
      <c r="BE145" s="2">
        <f t="shared" si="723"/>
        <v>30</v>
      </c>
      <c r="BF145" s="2">
        <f t="shared" si="723"/>
        <v>35</v>
      </c>
      <c r="BG145" s="2">
        <f t="shared" si="723"/>
        <v>40</v>
      </c>
      <c r="BH145" s="2">
        <f t="shared" si="723"/>
        <v>45</v>
      </c>
      <c r="BI145" s="2">
        <f t="shared" si="723"/>
        <v>50</v>
      </c>
      <c r="BJ145" s="2">
        <v>16</v>
      </c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>
        <v>5</v>
      </c>
      <c r="FC145" s="735" t="str">
        <f t="shared" si="666"/>
        <v/>
      </c>
      <c r="FD145" s="734" t="str">
        <f t="shared" si="696"/>
        <v/>
      </c>
      <c r="FE145" s="18">
        <f t="shared" si="667"/>
        <v>0</v>
      </c>
      <c r="FF145" s="275" t="str">
        <f t="shared" si="668"/>
        <v/>
      </c>
      <c r="FG145" s="145" t="str">
        <f t="shared" si="669"/>
        <v/>
      </c>
      <c r="FH145" s="726">
        <f t="shared" si="670"/>
        <v>0</v>
      </c>
      <c r="FI145" s="718"/>
      <c r="FJ145" s="701" t="str">
        <f t="shared" si="697"/>
        <v/>
      </c>
      <c r="FK145" s="66">
        <f t="shared" si="671"/>
        <v>0</v>
      </c>
      <c r="FL145" s="717"/>
      <c r="FM145" s="716"/>
      <c r="FN145" s="701" t="str">
        <f t="shared" si="698"/>
        <v/>
      </c>
      <c r="FO145" s="66">
        <f t="shared" si="672"/>
        <v>0</v>
      </c>
      <c r="FP145" s="717"/>
      <c r="FQ145" s="716"/>
      <c r="FR145" s="701" t="str">
        <f t="shared" si="699"/>
        <v/>
      </c>
      <c r="FS145" s="66">
        <f t="shared" si="673"/>
        <v>0</v>
      </c>
      <c r="FT145" s="717"/>
      <c r="FU145" s="716"/>
      <c r="FV145" s="701" t="str">
        <f t="shared" si="700"/>
        <v/>
      </c>
      <c r="FW145" s="66">
        <f t="shared" si="674"/>
        <v>0</v>
      </c>
      <c r="FX145" s="717"/>
      <c r="FY145" s="716"/>
      <c r="FZ145" s="701" t="str">
        <f t="shared" si="701"/>
        <v/>
      </c>
      <c r="GA145" s="66">
        <f t="shared" si="675"/>
        <v>0</v>
      </c>
      <c r="GB145" s="717"/>
      <c r="GC145" s="716"/>
      <c r="GD145" s="701" t="str">
        <f t="shared" si="702"/>
        <v/>
      </c>
      <c r="GE145" s="66">
        <f t="shared" si="676"/>
        <v>0</v>
      </c>
      <c r="GF145" s="717"/>
      <c r="GG145" s="716"/>
      <c r="GH145" s="701" t="str">
        <f t="shared" si="703"/>
        <v/>
      </c>
      <c r="GI145" s="66">
        <f t="shared" si="677"/>
        <v>0</v>
      </c>
      <c r="GJ145" s="717"/>
      <c r="GK145" s="716"/>
      <c r="GL145" s="701" t="str">
        <f t="shared" si="704"/>
        <v/>
      </c>
      <c r="GM145" s="66">
        <f t="shared" si="678"/>
        <v>0</v>
      </c>
      <c r="GN145" s="717"/>
      <c r="GO145" s="716"/>
      <c r="GP145" s="701" t="str">
        <f t="shared" si="705"/>
        <v/>
      </c>
      <c r="GQ145" s="66">
        <f t="shared" si="679"/>
        <v>0</v>
      </c>
      <c r="GR145" s="717"/>
      <c r="GS145" s="716"/>
      <c r="GT145" s="701" t="str">
        <f t="shared" si="706"/>
        <v/>
      </c>
      <c r="GU145" s="66">
        <f t="shared" si="680"/>
        <v>0</v>
      </c>
      <c r="GV145" s="717"/>
      <c r="GW145" s="716"/>
      <c r="GX145" s="701" t="str">
        <f t="shared" si="707"/>
        <v/>
      </c>
      <c r="GY145" s="66">
        <f t="shared" si="681"/>
        <v>0</v>
      </c>
      <c r="GZ145" s="717"/>
      <c r="HA145" s="716"/>
      <c r="HB145" s="701" t="str">
        <f t="shared" si="708"/>
        <v/>
      </c>
      <c r="HC145" s="66">
        <f t="shared" si="682"/>
        <v>0</v>
      </c>
      <c r="HD145" s="717"/>
      <c r="HE145" s="716"/>
      <c r="HF145" s="701" t="str">
        <f t="shared" si="709"/>
        <v/>
      </c>
      <c r="HG145" s="66">
        <f t="shared" si="683"/>
        <v>0</v>
      </c>
      <c r="HH145" s="717"/>
      <c r="HI145" s="716"/>
      <c r="HJ145" s="701" t="str">
        <f t="shared" si="710"/>
        <v/>
      </c>
      <c r="HK145" s="66">
        <f t="shared" si="684"/>
        <v>0</v>
      </c>
      <c r="HL145" s="717"/>
      <c r="HM145" s="716"/>
      <c r="HN145" s="701" t="str">
        <f t="shared" si="711"/>
        <v/>
      </c>
      <c r="HO145" s="66">
        <f t="shared" si="685"/>
        <v>0</v>
      </c>
      <c r="HP145" s="717"/>
      <c r="HQ145" s="716"/>
      <c r="HR145" s="701" t="str">
        <f t="shared" si="712"/>
        <v/>
      </c>
      <c r="HS145" s="66">
        <f t="shared" si="686"/>
        <v>0</v>
      </c>
      <c r="HT145" s="717"/>
      <c r="HU145" s="716"/>
      <c r="HV145" s="701" t="str">
        <f t="shared" si="713"/>
        <v/>
      </c>
      <c r="HW145" s="66">
        <f t="shared" si="687"/>
        <v>0</v>
      </c>
      <c r="HX145" s="717"/>
      <c r="HY145" s="716"/>
      <c r="HZ145" s="701" t="str">
        <f t="shared" si="714"/>
        <v/>
      </c>
      <c r="IA145" s="66">
        <f t="shared" si="688"/>
        <v>0</v>
      </c>
      <c r="IB145" s="717"/>
      <c r="IC145" s="716"/>
      <c r="ID145" s="701" t="str">
        <f t="shared" si="715"/>
        <v/>
      </c>
      <c r="IE145" s="66">
        <f t="shared" si="689"/>
        <v>0</v>
      </c>
      <c r="IF145" s="717"/>
      <c r="IG145" s="716"/>
      <c r="IH145" s="701" t="str">
        <f t="shared" si="716"/>
        <v/>
      </c>
      <c r="II145" s="66">
        <f t="shared" si="690"/>
        <v>0</v>
      </c>
      <c r="IJ145" s="717"/>
      <c r="IK145" s="716"/>
      <c r="IL145" s="701" t="str">
        <f t="shared" si="717"/>
        <v/>
      </c>
      <c r="IM145" s="66">
        <f t="shared" si="691"/>
        <v>0</v>
      </c>
      <c r="IN145" s="717"/>
      <c r="IO145" s="716"/>
      <c r="IP145" s="701" t="str">
        <f t="shared" si="718"/>
        <v/>
      </c>
      <c r="IQ145" s="66">
        <f t="shared" si="692"/>
        <v>0</v>
      </c>
      <c r="IR145" s="717"/>
      <c r="IS145" s="716"/>
      <c r="IT145" s="701" t="str">
        <f t="shared" si="719"/>
        <v/>
      </c>
      <c r="IU145" s="66">
        <f t="shared" si="693"/>
        <v>0</v>
      </c>
      <c r="IV145" s="717"/>
      <c r="IW145" s="716"/>
      <c r="IX145" s="701" t="str">
        <f t="shared" si="720"/>
        <v/>
      </c>
      <c r="IY145" s="66">
        <f t="shared" si="694"/>
        <v>0</v>
      </c>
    </row>
    <row r="146" spans="44:259" ht="13.3" thickTop="1" thickBot="1" x14ac:dyDescent="0.35">
      <c r="AR146" s="1"/>
      <c r="AT146" s="1380">
        <f t="shared" si="657"/>
        <v>1</v>
      </c>
      <c r="AU146" s="1222">
        <f t="shared" si="651"/>
        <v>1</v>
      </c>
      <c r="AV146" s="1219">
        <f t="shared" si="652"/>
        <v>0</v>
      </c>
      <c r="AW146" s="1384">
        <f t="shared" si="648"/>
        <v>0</v>
      </c>
      <c r="AX146" s="1220">
        <f t="shared" si="649"/>
        <v>1</v>
      </c>
      <c r="AY146" s="2">
        <f t="shared" si="653"/>
        <v>5</v>
      </c>
      <c r="AZ146" s="2">
        <f t="shared" ref="AZ146:BI146" si="724">IF($AU$7*AZ$129-$H41&lt;-$AU$7,$AU$7,$AU$7*AZ$129-$H41)</f>
        <v>5</v>
      </c>
      <c r="BA146" s="2">
        <f t="shared" si="724"/>
        <v>10</v>
      </c>
      <c r="BB146" s="2">
        <f t="shared" si="724"/>
        <v>15</v>
      </c>
      <c r="BC146" s="2">
        <f t="shared" si="724"/>
        <v>20</v>
      </c>
      <c r="BD146" s="2">
        <f t="shared" si="724"/>
        <v>25</v>
      </c>
      <c r="BE146" s="2">
        <f t="shared" si="724"/>
        <v>30</v>
      </c>
      <c r="BF146" s="2">
        <f t="shared" si="724"/>
        <v>35</v>
      </c>
      <c r="BG146" s="2">
        <f t="shared" si="724"/>
        <v>40</v>
      </c>
      <c r="BH146" s="2">
        <f t="shared" si="724"/>
        <v>45</v>
      </c>
      <c r="BI146" s="2">
        <f t="shared" si="724"/>
        <v>50</v>
      </c>
      <c r="BJ146" s="2">
        <v>17</v>
      </c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>
        <v>6</v>
      </c>
      <c r="FC146" s="735" t="str">
        <f t="shared" si="666"/>
        <v/>
      </c>
      <c r="FD146" s="734" t="str">
        <f t="shared" si="696"/>
        <v/>
      </c>
      <c r="FE146" s="18">
        <f t="shared" si="667"/>
        <v>0</v>
      </c>
      <c r="FF146" s="275" t="str">
        <f t="shared" si="668"/>
        <v/>
      </c>
      <c r="FG146" s="145" t="str">
        <f t="shared" si="669"/>
        <v/>
      </c>
      <c r="FH146" s="726">
        <f t="shared" si="670"/>
        <v>0</v>
      </c>
      <c r="FI146" s="718"/>
      <c r="FJ146" s="701" t="str">
        <f t="shared" si="697"/>
        <v/>
      </c>
      <c r="FK146" s="66">
        <f t="shared" si="671"/>
        <v>0</v>
      </c>
      <c r="FL146" s="717"/>
      <c r="FM146" s="716"/>
      <c r="FN146" s="701" t="str">
        <f t="shared" si="698"/>
        <v/>
      </c>
      <c r="FO146" s="66">
        <f t="shared" si="672"/>
        <v>0</v>
      </c>
      <c r="FP146" s="717"/>
      <c r="FQ146" s="716"/>
      <c r="FR146" s="701" t="str">
        <f t="shared" si="699"/>
        <v/>
      </c>
      <c r="FS146" s="66">
        <f t="shared" si="673"/>
        <v>0</v>
      </c>
      <c r="FT146" s="717"/>
      <c r="FU146" s="716"/>
      <c r="FV146" s="701" t="str">
        <f t="shared" si="700"/>
        <v/>
      </c>
      <c r="FW146" s="66">
        <f t="shared" si="674"/>
        <v>0</v>
      </c>
      <c r="FX146" s="717"/>
      <c r="FY146" s="716"/>
      <c r="FZ146" s="701" t="str">
        <f t="shared" si="701"/>
        <v/>
      </c>
      <c r="GA146" s="66">
        <f t="shared" si="675"/>
        <v>0</v>
      </c>
      <c r="GB146" s="717"/>
      <c r="GC146" s="716"/>
      <c r="GD146" s="701" t="str">
        <f t="shared" si="702"/>
        <v/>
      </c>
      <c r="GE146" s="66">
        <f t="shared" si="676"/>
        <v>0</v>
      </c>
      <c r="GF146" s="717"/>
      <c r="GG146" s="716"/>
      <c r="GH146" s="701" t="str">
        <f t="shared" si="703"/>
        <v/>
      </c>
      <c r="GI146" s="66">
        <f t="shared" si="677"/>
        <v>0</v>
      </c>
      <c r="GJ146" s="717"/>
      <c r="GK146" s="716"/>
      <c r="GL146" s="701" t="str">
        <f t="shared" si="704"/>
        <v/>
      </c>
      <c r="GM146" s="66">
        <f t="shared" si="678"/>
        <v>0</v>
      </c>
      <c r="GN146" s="717"/>
      <c r="GO146" s="716"/>
      <c r="GP146" s="701" t="str">
        <f t="shared" si="705"/>
        <v/>
      </c>
      <c r="GQ146" s="66">
        <f t="shared" si="679"/>
        <v>0</v>
      </c>
      <c r="GR146" s="717"/>
      <c r="GS146" s="716"/>
      <c r="GT146" s="701" t="str">
        <f t="shared" si="706"/>
        <v/>
      </c>
      <c r="GU146" s="66">
        <f t="shared" si="680"/>
        <v>0</v>
      </c>
      <c r="GV146" s="717"/>
      <c r="GW146" s="716"/>
      <c r="GX146" s="701" t="str">
        <f t="shared" si="707"/>
        <v/>
      </c>
      <c r="GY146" s="66">
        <f t="shared" si="681"/>
        <v>0</v>
      </c>
      <c r="GZ146" s="717"/>
      <c r="HA146" s="716"/>
      <c r="HB146" s="701" t="str">
        <f t="shared" si="708"/>
        <v/>
      </c>
      <c r="HC146" s="66">
        <f t="shared" si="682"/>
        <v>0</v>
      </c>
      <c r="HD146" s="717"/>
      <c r="HE146" s="716"/>
      <c r="HF146" s="701" t="str">
        <f t="shared" si="709"/>
        <v/>
      </c>
      <c r="HG146" s="66">
        <f t="shared" si="683"/>
        <v>0</v>
      </c>
      <c r="HH146" s="717"/>
      <c r="HI146" s="716"/>
      <c r="HJ146" s="701" t="str">
        <f t="shared" si="710"/>
        <v/>
      </c>
      <c r="HK146" s="66">
        <f t="shared" si="684"/>
        <v>0</v>
      </c>
      <c r="HL146" s="717"/>
      <c r="HM146" s="716"/>
      <c r="HN146" s="701" t="str">
        <f t="shared" si="711"/>
        <v/>
      </c>
      <c r="HO146" s="66">
        <f t="shared" si="685"/>
        <v>0</v>
      </c>
      <c r="HP146" s="717"/>
      <c r="HQ146" s="716"/>
      <c r="HR146" s="701" t="str">
        <f t="shared" si="712"/>
        <v/>
      </c>
      <c r="HS146" s="66">
        <f t="shared" si="686"/>
        <v>0</v>
      </c>
      <c r="HT146" s="717"/>
      <c r="HU146" s="716"/>
      <c r="HV146" s="701" t="str">
        <f t="shared" si="713"/>
        <v/>
      </c>
      <c r="HW146" s="66">
        <f t="shared" si="687"/>
        <v>0</v>
      </c>
      <c r="HX146" s="717"/>
      <c r="HY146" s="716"/>
      <c r="HZ146" s="701" t="str">
        <f t="shared" si="714"/>
        <v/>
      </c>
      <c r="IA146" s="66">
        <f t="shared" si="688"/>
        <v>0</v>
      </c>
      <c r="IB146" s="717"/>
      <c r="IC146" s="716"/>
      <c r="ID146" s="701" t="str">
        <f t="shared" si="715"/>
        <v/>
      </c>
      <c r="IE146" s="66">
        <f t="shared" si="689"/>
        <v>0</v>
      </c>
      <c r="IF146" s="717"/>
      <c r="IG146" s="716"/>
      <c r="IH146" s="701" t="str">
        <f t="shared" si="716"/>
        <v/>
      </c>
      <c r="II146" s="66">
        <f t="shared" si="690"/>
        <v>0</v>
      </c>
      <c r="IJ146" s="717"/>
      <c r="IK146" s="716"/>
      <c r="IL146" s="701" t="str">
        <f t="shared" si="717"/>
        <v/>
      </c>
      <c r="IM146" s="66">
        <f t="shared" si="691"/>
        <v>0</v>
      </c>
      <c r="IN146" s="717"/>
      <c r="IO146" s="716"/>
      <c r="IP146" s="701" t="str">
        <f t="shared" si="718"/>
        <v/>
      </c>
      <c r="IQ146" s="66">
        <f t="shared" si="692"/>
        <v>0</v>
      </c>
      <c r="IR146" s="717"/>
      <c r="IS146" s="716"/>
      <c r="IT146" s="701" t="str">
        <f t="shared" si="719"/>
        <v/>
      </c>
      <c r="IU146" s="66">
        <f t="shared" si="693"/>
        <v>0</v>
      </c>
      <c r="IV146" s="717"/>
      <c r="IW146" s="716"/>
      <c r="IX146" s="701" t="str">
        <f t="shared" si="720"/>
        <v/>
      </c>
      <c r="IY146" s="66">
        <f t="shared" si="694"/>
        <v>0</v>
      </c>
    </row>
    <row r="147" spans="44:259" ht="13.3" thickTop="1" thickBot="1" x14ac:dyDescent="0.35">
      <c r="AR147" s="1"/>
      <c r="AT147" s="1380">
        <f t="shared" si="657"/>
        <v>1</v>
      </c>
      <c r="AU147" s="1222">
        <f t="shared" si="651"/>
        <v>1</v>
      </c>
      <c r="AV147" s="1219">
        <f t="shared" si="652"/>
        <v>0</v>
      </c>
      <c r="AW147" s="1384">
        <f t="shared" si="648"/>
        <v>0</v>
      </c>
      <c r="AX147" s="1220">
        <f t="shared" si="649"/>
        <v>1</v>
      </c>
      <c r="AY147" s="2">
        <f t="shared" si="653"/>
        <v>5</v>
      </c>
      <c r="AZ147" s="2">
        <f t="shared" ref="AZ147:BI147" si="725">IF($AU$7*AZ$129-$H42&lt;-$AU$7,$AU$7,$AU$7*AZ$129-$H42)</f>
        <v>5</v>
      </c>
      <c r="BA147" s="2">
        <f t="shared" si="725"/>
        <v>10</v>
      </c>
      <c r="BB147" s="2">
        <f t="shared" si="725"/>
        <v>15</v>
      </c>
      <c r="BC147" s="2">
        <f t="shared" si="725"/>
        <v>20</v>
      </c>
      <c r="BD147" s="2">
        <f t="shared" si="725"/>
        <v>25</v>
      </c>
      <c r="BE147" s="2">
        <f t="shared" si="725"/>
        <v>30</v>
      </c>
      <c r="BF147" s="2">
        <f t="shared" si="725"/>
        <v>35</v>
      </c>
      <c r="BG147" s="2">
        <f t="shared" si="725"/>
        <v>40</v>
      </c>
      <c r="BH147" s="2">
        <f t="shared" si="725"/>
        <v>45</v>
      </c>
      <c r="BI147" s="2">
        <f t="shared" si="725"/>
        <v>50</v>
      </c>
      <c r="BJ147" s="2">
        <v>18</v>
      </c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>
        <v>7</v>
      </c>
      <c r="FC147" s="735" t="str">
        <f t="shared" si="666"/>
        <v/>
      </c>
      <c r="FD147" s="734" t="str">
        <f t="shared" si="696"/>
        <v/>
      </c>
      <c r="FE147" s="18">
        <f t="shared" si="667"/>
        <v>0</v>
      </c>
      <c r="FF147" s="275" t="str">
        <f t="shared" si="668"/>
        <v/>
      </c>
      <c r="FG147" s="145" t="str">
        <f t="shared" si="669"/>
        <v/>
      </c>
      <c r="FH147" s="726">
        <f t="shared" si="670"/>
        <v>0</v>
      </c>
      <c r="FI147" s="718"/>
      <c r="FJ147" s="701" t="str">
        <f t="shared" si="697"/>
        <v/>
      </c>
      <c r="FK147" s="66">
        <f t="shared" si="671"/>
        <v>0</v>
      </c>
      <c r="FL147" s="717"/>
      <c r="FM147" s="716"/>
      <c r="FN147" s="701" t="str">
        <f t="shared" si="698"/>
        <v/>
      </c>
      <c r="FO147" s="66">
        <f t="shared" si="672"/>
        <v>0</v>
      </c>
      <c r="FP147" s="717"/>
      <c r="FQ147" s="716"/>
      <c r="FR147" s="701" t="str">
        <f t="shared" si="699"/>
        <v/>
      </c>
      <c r="FS147" s="66">
        <f t="shared" si="673"/>
        <v>0</v>
      </c>
      <c r="FT147" s="717"/>
      <c r="FU147" s="716"/>
      <c r="FV147" s="701" t="str">
        <f t="shared" si="700"/>
        <v/>
      </c>
      <c r="FW147" s="66">
        <f t="shared" si="674"/>
        <v>0</v>
      </c>
      <c r="FX147" s="717"/>
      <c r="FY147" s="716"/>
      <c r="FZ147" s="701" t="str">
        <f t="shared" si="701"/>
        <v/>
      </c>
      <c r="GA147" s="66">
        <f t="shared" si="675"/>
        <v>0</v>
      </c>
      <c r="GB147" s="717"/>
      <c r="GC147" s="716"/>
      <c r="GD147" s="701" t="str">
        <f t="shared" si="702"/>
        <v/>
      </c>
      <c r="GE147" s="66">
        <f t="shared" si="676"/>
        <v>0</v>
      </c>
      <c r="GF147" s="717"/>
      <c r="GG147" s="716"/>
      <c r="GH147" s="701" t="str">
        <f t="shared" si="703"/>
        <v/>
      </c>
      <c r="GI147" s="66">
        <f t="shared" si="677"/>
        <v>0</v>
      </c>
      <c r="GJ147" s="717"/>
      <c r="GK147" s="716"/>
      <c r="GL147" s="701" t="str">
        <f t="shared" si="704"/>
        <v/>
      </c>
      <c r="GM147" s="66">
        <f t="shared" si="678"/>
        <v>0</v>
      </c>
      <c r="GN147" s="717"/>
      <c r="GO147" s="716"/>
      <c r="GP147" s="701" t="str">
        <f t="shared" si="705"/>
        <v/>
      </c>
      <c r="GQ147" s="66">
        <f t="shared" si="679"/>
        <v>0</v>
      </c>
      <c r="GR147" s="717"/>
      <c r="GS147" s="716"/>
      <c r="GT147" s="701" t="str">
        <f t="shared" si="706"/>
        <v/>
      </c>
      <c r="GU147" s="66">
        <f t="shared" si="680"/>
        <v>0</v>
      </c>
      <c r="GV147" s="717"/>
      <c r="GW147" s="716"/>
      <c r="GX147" s="701" t="str">
        <f t="shared" si="707"/>
        <v/>
      </c>
      <c r="GY147" s="66">
        <f t="shared" si="681"/>
        <v>0</v>
      </c>
      <c r="GZ147" s="717"/>
      <c r="HA147" s="716"/>
      <c r="HB147" s="701" t="str">
        <f t="shared" si="708"/>
        <v/>
      </c>
      <c r="HC147" s="66">
        <f t="shared" si="682"/>
        <v>0</v>
      </c>
      <c r="HD147" s="717"/>
      <c r="HE147" s="716"/>
      <c r="HF147" s="701" t="str">
        <f t="shared" si="709"/>
        <v/>
      </c>
      <c r="HG147" s="66">
        <f t="shared" si="683"/>
        <v>0</v>
      </c>
      <c r="HH147" s="717"/>
      <c r="HI147" s="716"/>
      <c r="HJ147" s="701" t="str">
        <f t="shared" si="710"/>
        <v/>
      </c>
      <c r="HK147" s="66">
        <f t="shared" si="684"/>
        <v>0</v>
      </c>
      <c r="HL147" s="717"/>
      <c r="HM147" s="716"/>
      <c r="HN147" s="701" t="str">
        <f t="shared" si="711"/>
        <v/>
      </c>
      <c r="HO147" s="66">
        <f t="shared" si="685"/>
        <v>0</v>
      </c>
      <c r="HP147" s="717"/>
      <c r="HQ147" s="716"/>
      <c r="HR147" s="701" t="str">
        <f t="shared" si="712"/>
        <v/>
      </c>
      <c r="HS147" s="66">
        <f t="shared" si="686"/>
        <v>0</v>
      </c>
      <c r="HT147" s="717"/>
      <c r="HU147" s="716"/>
      <c r="HV147" s="701" t="str">
        <f t="shared" si="713"/>
        <v/>
      </c>
      <c r="HW147" s="66">
        <f t="shared" si="687"/>
        <v>0</v>
      </c>
      <c r="HX147" s="717"/>
      <c r="HY147" s="716"/>
      <c r="HZ147" s="701" t="str">
        <f t="shared" si="714"/>
        <v/>
      </c>
      <c r="IA147" s="66">
        <f t="shared" si="688"/>
        <v>0</v>
      </c>
      <c r="IB147" s="717"/>
      <c r="IC147" s="716"/>
      <c r="ID147" s="701" t="str">
        <f t="shared" si="715"/>
        <v/>
      </c>
      <c r="IE147" s="66">
        <f t="shared" si="689"/>
        <v>0</v>
      </c>
      <c r="IF147" s="717"/>
      <c r="IG147" s="716"/>
      <c r="IH147" s="701" t="str">
        <f t="shared" si="716"/>
        <v/>
      </c>
      <c r="II147" s="66">
        <f t="shared" si="690"/>
        <v>0</v>
      </c>
      <c r="IJ147" s="717"/>
      <c r="IK147" s="716"/>
      <c r="IL147" s="701" t="str">
        <f t="shared" si="717"/>
        <v/>
      </c>
      <c r="IM147" s="66">
        <f t="shared" si="691"/>
        <v>0</v>
      </c>
      <c r="IN147" s="717"/>
      <c r="IO147" s="716"/>
      <c r="IP147" s="701" t="str">
        <f t="shared" si="718"/>
        <v/>
      </c>
      <c r="IQ147" s="66">
        <f t="shared" si="692"/>
        <v>0</v>
      </c>
      <c r="IR147" s="717"/>
      <c r="IS147" s="716"/>
      <c r="IT147" s="701" t="str">
        <f t="shared" si="719"/>
        <v/>
      </c>
      <c r="IU147" s="66">
        <f t="shared" si="693"/>
        <v>0</v>
      </c>
      <c r="IV147" s="717"/>
      <c r="IW147" s="716"/>
      <c r="IX147" s="701" t="str">
        <f t="shared" si="720"/>
        <v/>
      </c>
      <c r="IY147" s="66">
        <f t="shared" si="694"/>
        <v>0</v>
      </c>
    </row>
    <row r="148" spans="44:259" ht="13.3" thickTop="1" thickBot="1" x14ac:dyDescent="0.35">
      <c r="AR148" s="1"/>
      <c r="AT148" s="1380">
        <f t="shared" si="657"/>
        <v>1</v>
      </c>
      <c r="AU148" s="1222">
        <f t="shared" si="651"/>
        <v>1</v>
      </c>
      <c r="AV148" s="1219">
        <f t="shared" si="652"/>
        <v>0</v>
      </c>
      <c r="AW148" s="1384">
        <f t="shared" si="648"/>
        <v>0</v>
      </c>
      <c r="AX148" s="1220">
        <f t="shared" si="649"/>
        <v>1</v>
      </c>
      <c r="AY148" s="2">
        <f t="shared" si="653"/>
        <v>5</v>
      </c>
      <c r="AZ148" s="2">
        <f t="shared" ref="AZ148:BI148" si="726">IF($AU$7*AZ$129-$H43&lt;-$AU$7,$AU$7,$AU$7*AZ$129-$H43)</f>
        <v>5</v>
      </c>
      <c r="BA148" s="2">
        <f t="shared" si="726"/>
        <v>10</v>
      </c>
      <c r="BB148" s="2">
        <f t="shared" si="726"/>
        <v>15</v>
      </c>
      <c r="BC148" s="2">
        <f t="shared" si="726"/>
        <v>20</v>
      </c>
      <c r="BD148" s="2">
        <f t="shared" si="726"/>
        <v>25</v>
      </c>
      <c r="BE148" s="2">
        <f t="shared" si="726"/>
        <v>30</v>
      </c>
      <c r="BF148" s="2">
        <f t="shared" si="726"/>
        <v>35</v>
      </c>
      <c r="BG148" s="2">
        <f t="shared" si="726"/>
        <v>40</v>
      </c>
      <c r="BH148" s="2">
        <f t="shared" si="726"/>
        <v>45</v>
      </c>
      <c r="BI148" s="2">
        <f t="shared" si="726"/>
        <v>50</v>
      </c>
      <c r="BJ148" s="2">
        <v>19</v>
      </c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>
        <v>8</v>
      </c>
      <c r="FC148" s="735" t="str">
        <f t="shared" si="666"/>
        <v/>
      </c>
      <c r="FD148" s="734" t="str">
        <f t="shared" si="696"/>
        <v/>
      </c>
      <c r="FE148" s="18">
        <f t="shared" si="667"/>
        <v>0</v>
      </c>
      <c r="FF148" s="275" t="str">
        <f t="shared" si="668"/>
        <v/>
      </c>
      <c r="FG148" s="145" t="str">
        <f t="shared" si="669"/>
        <v/>
      </c>
      <c r="FH148" s="726">
        <f t="shared" si="670"/>
        <v>0</v>
      </c>
      <c r="FI148" s="718"/>
      <c r="FJ148" s="701" t="str">
        <f t="shared" si="697"/>
        <v/>
      </c>
      <c r="FK148" s="66">
        <f t="shared" si="671"/>
        <v>0</v>
      </c>
      <c r="FL148" s="717"/>
      <c r="FM148" s="716"/>
      <c r="FN148" s="701" t="str">
        <f t="shared" si="698"/>
        <v/>
      </c>
      <c r="FO148" s="66">
        <f t="shared" si="672"/>
        <v>0</v>
      </c>
      <c r="FP148" s="717"/>
      <c r="FQ148" s="716"/>
      <c r="FR148" s="701" t="str">
        <f t="shared" si="699"/>
        <v/>
      </c>
      <c r="FS148" s="66">
        <f t="shared" si="673"/>
        <v>0</v>
      </c>
      <c r="FT148" s="717"/>
      <c r="FU148" s="716"/>
      <c r="FV148" s="701" t="str">
        <f t="shared" si="700"/>
        <v/>
      </c>
      <c r="FW148" s="66">
        <f t="shared" si="674"/>
        <v>0</v>
      </c>
      <c r="FX148" s="717"/>
      <c r="FY148" s="716"/>
      <c r="FZ148" s="701" t="str">
        <f t="shared" si="701"/>
        <v/>
      </c>
      <c r="GA148" s="66">
        <f t="shared" si="675"/>
        <v>0</v>
      </c>
      <c r="GB148" s="717"/>
      <c r="GC148" s="716"/>
      <c r="GD148" s="701" t="str">
        <f t="shared" si="702"/>
        <v/>
      </c>
      <c r="GE148" s="66">
        <f t="shared" si="676"/>
        <v>0</v>
      </c>
      <c r="GF148" s="717"/>
      <c r="GG148" s="716"/>
      <c r="GH148" s="701" t="str">
        <f t="shared" si="703"/>
        <v/>
      </c>
      <c r="GI148" s="66">
        <f t="shared" si="677"/>
        <v>0</v>
      </c>
      <c r="GJ148" s="717"/>
      <c r="GK148" s="716"/>
      <c r="GL148" s="701" t="str">
        <f t="shared" si="704"/>
        <v/>
      </c>
      <c r="GM148" s="66">
        <f t="shared" si="678"/>
        <v>0</v>
      </c>
      <c r="GN148" s="717"/>
      <c r="GO148" s="716"/>
      <c r="GP148" s="701" t="str">
        <f t="shared" si="705"/>
        <v/>
      </c>
      <c r="GQ148" s="66">
        <f t="shared" si="679"/>
        <v>0</v>
      </c>
      <c r="GR148" s="717"/>
      <c r="GS148" s="716"/>
      <c r="GT148" s="701" t="str">
        <f t="shared" si="706"/>
        <v/>
      </c>
      <c r="GU148" s="66">
        <f t="shared" si="680"/>
        <v>0</v>
      </c>
      <c r="GV148" s="717"/>
      <c r="GW148" s="716"/>
      <c r="GX148" s="701" t="str">
        <f t="shared" si="707"/>
        <v/>
      </c>
      <c r="GY148" s="66">
        <f t="shared" si="681"/>
        <v>0</v>
      </c>
      <c r="GZ148" s="717"/>
      <c r="HA148" s="716"/>
      <c r="HB148" s="701" t="str">
        <f t="shared" si="708"/>
        <v/>
      </c>
      <c r="HC148" s="66">
        <f t="shared" si="682"/>
        <v>0</v>
      </c>
      <c r="HD148" s="717"/>
      <c r="HE148" s="716"/>
      <c r="HF148" s="701" t="str">
        <f t="shared" si="709"/>
        <v/>
      </c>
      <c r="HG148" s="66">
        <f t="shared" si="683"/>
        <v>0</v>
      </c>
      <c r="HH148" s="717"/>
      <c r="HI148" s="716"/>
      <c r="HJ148" s="701" t="str">
        <f t="shared" si="710"/>
        <v/>
      </c>
      <c r="HK148" s="66">
        <f t="shared" si="684"/>
        <v>0</v>
      </c>
      <c r="HL148" s="717"/>
      <c r="HM148" s="716"/>
      <c r="HN148" s="701" t="str">
        <f t="shared" si="711"/>
        <v/>
      </c>
      <c r="HO148" s="66">
        <f t="shared" si="685"/>
        <v>0</v>
      </c>
      <c r="HP148" s="717"/>
      <c r="HQ148" s="716"/>
      <c r="HR148" s="701" t="str">
        <f t="shared" si="712"/>
        <v/>
      </c>
      <c r="HS148" s="66">
        <f t="shared" si="686"/>
        <v>0</v>
      </c>
      <c r="HT148" s="717"/>
      <c r="HU148" s="716"/>
      <c r="HV148" s="701" t="str">
        <f t="shared" si="713"/>
        <v/>
      </c>
      <c r="HW148" s="66">
        <f t="shared" si="687"/>
        <v>0</v>
      </c>
      <c r="HX148" s="717"/>
      <c r="HY148" s="716"/>
      <c r="HZ148" s="701" t="str">
        <f t="shared" si="714"/>
        <v/>
      </c>
      <c r="IA148" s="66">
        <f t="shared" si="688"/>
        <v>0</v>
      </c>
      <c r="IB148" s="717"/>
      <c r="IC148" s="716"/>
      <c r="ID148" s="701" t="str">
        <f t="shared" si="715"/>
        <v/>
      </c>
      <c r="IE148" s="66">
        <f t="shared" si="689"/>
        <v>0</v>
      </c>
      <c r="IF148" s="717"/>
      <c r="IG148" s="716"/>
      <c r="IH148" s="701" t="str">
        <f t="shared" si="716"/>
        <v/>
      </c>
      <c r="II148" s="66">
        <f t="shared" si="690"/>
        <v>0</v>
      </c>
      <c r="IJ148" s="717"/>
      <c r="IK148" s="716"/>
      <c r="IL148" s="701" t="str">
        <f t="shared" si="717"/>
        <v/>
      </c>
      <c r="IM148" s="66">
        <f t="shared" si="691"/>
        <v>0</v>
      </c>
      <c r="IN148" s="717"/>
      <c r="IO148" s="716"/>
      <c r="IP148" s="701" t="str">
        <f t="shared" si="718"/>
        <v/>
      </c>
      <c r="IQ148" s="66">
        <f t="shared" si="692"/>
        <v>0</v>
      </c>
      <c r="IR148" s="717"/>
      <c r="IS148" s="716"/>
      <c r="IT148" s="701" t="str">
        <f t="shared" si="719"/>
        <v/>
      </c>
      <c r="IU148" s="66">
        <f t="shared" si="693"/>
        <v>0</v>
      </c>
      <c r="IV148" s="717"/>
      <c r="IW148" s="716"/>
      <c r="IX148" s="701" t="str">
        <f t="shared" si="720"/>
        <v/>
      </c>
      <c r="IY148" s="66">
        <f t="shared" si="694"/>
        <v>0</v>
      </c>
    </row>
    <row r="149" spans="44:259" ht="13.3" thickTop="1" thickBot="1" x14ac:dyDescent="0.35">
      <c r="AR149" s="1"/>
      <c r="AT149" s="1380">
        <f t="shared" si="657"/>
        <v>1</v>
      </c>
      <c r="AU149" s="1222">
        <f t="shared" si="651"/>
        <v>1</v>
      </c>
      <c r="AV149" s="1219">
        <f t="shared" si="652"/>
        <v>0</v>
      </c>
      <c r="AW149" s="1384">
        <f t="shared" si="648"/>
        <v>0</v>
      </c>
      <c r="AX149" s="1220">
        <f t="shared" si="649"/>
        <v>1</v>
      </c>
      <c r="AY149" s="2">
        <f t="shared" si="653"/>
        <v>5</v>
      </c>
      <c r="AZ149" s="2">
        <f t="shared" ref="AZ149:BI149" si="727">IF($AU$7*AZ$129-$H44&lt;-$AU$7,$AU$7,$AU$7*AZ$129-$H44)</f>
        <v>5</v>
      </c>
      <c r="BA149" s="2">
        <f t="shared" si="727"/>
        <v>10</v>
      </c>
      <c r="BB149" s="2">
        <f t="shared" si="727"/>
        <v>15</v>
      </c>
      <c r="BC149" s="2">
        <f t="shared" si="727"/>
        <v>20</v>
      </c>
      <c r="BD149" s="2">
        <f t="shared" si="727"/>
        <v>25</v>
      </c>
      <c r="BE149" s="2">
        <f t="shared" si="727"/>
        <v>30</v>
      </c>
      <c r="BF149" s="2">
        <f t="shared" si="727"/>
        <v>35</v>
      </c>
      <c r="BG149" s="2">
        <f t="shared" si="727"/>
        <v>40</v>
      </c>
      <c r="BH149" s="2">
        <f t="shared" si="727"/>
        <v>45</v>
      </c>
      <c r="BI149" s="2">
        <f t="shared" si="727"/>
        <v>50</v>
      </c>
      <c r="BJ149" s="2">
        <v>20</v>
      </c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>
        <v>9</v>
      </c>
      <c r="FC149" s="735" t="str">
        <f t="shared" si="666"/>
        <v/>
      </c>
      <c r="FD149" s="734" t="str">
        <f t="shared" si="696"/>
        <v/>
      </c>
      <c r="FE149" s="18">
        <f t="shared" si="667"/>
        <v>0</v>
      </c>
      <c r="FF149" s="275" t="str">
        <f t="shared" si="668"/>
        <v/>
      </c>
      <c r="FG149" s="145" t="str">
        <f t="shared" si="669"/>
        <v/>
      </c>
      <c r="FH149" s="726">
        <f t="shared" si="670"/>
        <v>0</v>
      </c>
      <c r="FI149" s="718"/>
      <c r="FJ149" s="701" t="str">
        <f t="shared" si="697"/>
        <v/>
      </c>
      <c r="FK149" s="66">
        <f t="shared" si="671"/>
        <v>0</v>
      </c>
      <c r="FL149" s="717"/>
      <c r="FM149" s="716"/>
      <c r="FN149" s="701" t="str">
        <f t="shared" si="698"/>
        <v/>
      </c>
      <c r="FO149" s="66">
        <f t="shared" si="672"/>
        <v>0</v>
      </c>
      <c r="FP149" s="717"/>
      <c r="FQ149" s="716"/>
      <c r="FR149" s="701" t="str">
        <f t="shared" si="699"/>
        <v/>
      </c>
      <c r="FS149" s="66">
        <f t="shared" si="673"/>
        <v>0</v>
      </c>
      <c r="FT149" s="717"/>
      <c r="FU149" s="716"/>
      <c r="FV149" s="701" t="str">
        <f t="shared" si="700"/>
        <v/>
      </c>
      <c r="FW149" s="66">
        <f t="shared" si="674"/>
        <v>0</v>
      </c>
      <c r="FX149" s="717"/>
      <c r="FY149" s="716"/>
      <c r="FZ149" s="701" t="str">
        <f t="shared" si="701"/>
        <v/>
      </c>
      <c r="GA149" s="66">
        <f t="shared" si="675"/>
        <v>0</v>
      </c>
      <c r="GB149" s="717"/>
      <c r="GC149" s="716"/>
      <c r="GD149" s="701" t="str">
        <f t="shared" si="702"/>
        <v/>
      </c>
      <c r="GE149" s="66">
        <f t="shared" si="676"/>
        <v>0</v>
      </c>
      <c r="GF149" s="717"/>
      <c r="GG149" s="716"/>
      <c r="GH149" s="701" t="str">
        <f t="shared" si="703"/>
        <v/>
      </c>
      <c r="GI149" s="66">
        <f t="shared" si="677"/>
        <v>0</v>
      </c>
      <c r="GJ149" s="717"/>
      <c r="GK149" s="716"/>
      <c r="GL149" s="701" t="str">
        <f t="shared" si="704"/>
        <v/>
      </c>
      <c r="GM149" s="66">
        <f t="shared" si="678"/>
        <v>0</v>
      </c>
      <c r="GN149" s="717"/>
      <c r="GO149" s="716"/>
      <c r="GP149" s="701" t="str">
        <f t="shared" si="705"/>
        <v/>
      </c>
      <c r="GQ149" s="66">
        <f t="shared" si="679"/>
        <v>0</v>
      </c>
      <c r="GR149" s="717"/>
      <c r="GS149" s="716"/>
      <c r="GT149" s="701" t="str">
        <f t="shared" si="706"/>
        <v/>
      </c>
      <c r="GU149" s="66">
        <f t="shared" si="680"/>
        <v>0</v>
      </c>
      <c r="GV149" s="717"/>
      <c r="GW149" s="716"/>
      <c r="GX149" s="701" t="str">
        <f t="shared" si="707"/>
        <v/>
      </c>
      <c r="GY149" s="66">
        <f t="shared" si="681"/>
        <v>0</v>
      </c>
      <c r="GZ149" s="717"/>
      <c r="HA149" s="716"/>
      <c r="HB149" s="701" t="str">
        <f t="shared" si="708"/>
        <v/>
      </c>
      <c r="HC149" s="66">
        <f t="shared" si="682"/>
        <v>0</v>
      </c>
      <c r="HD149" s="717"/>
      <c r="HE149" s="716"/>
      <c r="HF149" s="701" t="str">
        <f t="shared" si="709"/>
        <v/>
      </c>
      <c r="HG149" s="66">
        <f t="shared" si="683"/>
        <v>0</v>
      </c>
      <c r="HH149" s="717"/>
      <c r="HI149" s="716"/>
      <c r="HJ149" s="701" t="str">
        <f t="shared" si="710"/>
        <v/>
      </c>
      <c r="HK149" s="66">
        <f t="shared" si="684"/>
        <v>0</v>
      </c>
      <c r="HL149" s="717"/>
      <c r="HM149" s="716"/>
      <c r="HN149" s="701" t="str">
        <f t="shared" si="711"/>
        <v/>
      </c>
      <c r="HO149" s="66">
        <f t="shared" si="685"/>
        <v>0</v>
      </c>
      <c r="HP149" s="717"/>
      <c r="HQ149" s="716"/>
      <c r="HR149" s="701" t="str">
        <f t="shared" si="712"/>
        <v/>
      </c>
      <c r="HS149" s="66">
        <f t="shared" si="686"/>
        <v>0</v>
      </c>
      <c r="HT149" s="717"/>
      <c r="HU149" s="716"/>
      <c r="HV149" s="701" t="str">
        <f t="shared" si="713"/>
        <v/>
      </c>
      <c r="HW149" s="66">
        <f t="shared" si="687"/>
        <v>0</v>
      </c>
      <c r="HX149" s="717"/>
      <c r="HY149" s="716"/>
      <c r="HZ149" s="701" t="str">
        <f t="shared" si="714"/>
        <v/>
      </c>
      <c r="IA149" s="66">
        <f t="shared" si="688"/>
        <v>0</v>
      </c>
      <c r="IB149" s="717"/>
      <c r="IC149" s="716"/>
      <c r="ID149" s="701" t="str">
        <f t="shared" si="715"/>
        <v/>
      </c>
      <c r="IE149" s="66">
        <f t="shared" si="689"/>
        <v>0</v>
      </c>
      <c r="IF149" s="717"/>
      <c r="IG149" s="716"/>
      <c r="IH149" s="701" t="str">
        <f t="shared" si="716"/>
        <v/>
      </c>
      <c r="II149" s="66">
        <f t="shared" si="690"/>
        <v>0</v>
      </c>
      <c r="IJ149" s="717"/>
      <c r="IK149" s="716"/>
      <c r="IL149" s="701" t="str">
        <f t="shared" si="717"/>
        <v/>
      </c>
      <c r="IM149" s="66">
        <f t="shared" si="691"/>
        <v>0</v>
      </c>
      <c r="IN149" s="717"/>
      <c r="IO149" s="716"/>
      <c r="IP149" s="701" t="str">
        <f t="shared" si="718"/>
        <v/>
      </c>
      <c r="IQ149" s="66">
        <f t="shared" si="692"/>
        <v>0</v>
      </c>
      <c r="IR149" s="717"/>
      <c r="IS149" s="716"/>
      <c r="IT149" s="701" t="str">
        <f t="shared" si="719"/>
        <v/>
      </c>
      <c r="IU149" s="66">
        <f t="shared" si="693"/>
        <v>0</v>
      </c>
      <c r="IV149" s="717"/>
      <c r="IW149" s="716"/>
      <c r="IX149" s="701" t="str">
        <f t="shared" si="720"/>
        <v/>
      </c>
      <c r="IY149" s="66">
        <f t="shared" si="694"/>
        <v>0</v>
      </c>
    </row>
    <row r="150" spans="44:259" ht="13.3" thickTop="1" thickBot="1" x14ac:dyDescent="0.35">
      <c r="AR150" s="1"/>
      <c r="AT150" s="1380">
        <f t="shared" si="657"/>
        <v>1</v>
      </c>
      <c r="AU150" s="1222">
        <f t="shared" si="651"/>
        <v>1</v>
      </c>
      <c r="AV150" s="1219">
        <f t="shared" si="652"/>
        <v>0</v>
      </c>
      <c r="AW150" s="1384">
        <f t="shared" si="648"/>
        <v>0</v>
      </c>
      <c r="AX150" s="1220">
        <f t="shared" si="649"/>
        <v>1</v>
      </c>
      <c r="AY150" s="2">
        <f t="shared" si="653"/>
        <v>5</v>
      </c>
      <c r="AZ150" s="2">
        <f t="shared" ref="AZ150:BI150" si="728">IF($AU$7*AZ$129-$H45&lt;-$AU$7,$AU$7,$AU$7*AZ$129-$H45)</f>
        <v>5</v>
      </c>
      <c r="BA150" s="2">
        <f t="shared" si="728"/>
        <v>10</v>
      </c>
      <c r="BB150" s="2">
        <f t="shared" si="728"/>
        <v>15</v>
      </c>
      <c r="BC150" s="2">
        <f t="shared" si="728"/>
        <v>20</v>
      </c>
      <c r="BD150" s="2">
        <f t="shared" si="728"/>
        <v>25</v>
      </c>
      <c r="BE150" s="2">
        <f t="shared" si="728"/>
        <v>30</v>
      </c>
      <c r="BF150" s="2">
        <f t="shared" si="728"/>
        <v>35</v>
      </c>
      <c r="BG150" s="2">
        <f t="shared" si="728"/>
        <v>40</v>
      </c>
      <c r="BH150" s="2">
        <f t="shared" si="728"/>
        <v>45</v>
      </c>
      <c r="BI150" s="2">
        <f t="shared" si="728"/>
        <v>50</v>
      </c>
      <c r="BJ150" s="2">
        <v>21</v>
      </c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>
        <v>10</v>
      </c>
      <c r="FC150" s="735" t="str">
        <f t="shared" si="666"/>
        <v/>
      </c>
      <c r="FD150" s="734" t="str">
        <f t="shared" si="696"/>
        <v/>
      </c>
      <c r="FE150" s="18">
        <f t="shared" si="667"/>
        <v>0</v>
      </c>
      <c r="FF150" s="275" t="str">
        <f t="shared" si="668"/>
        <v/>
      </c>
      <c r="FG150" s="145" t="str">
        <f t="shared" si="669"/>
        <v/>
      </c>
      <c r="FH150" s="726">
        <f t="shared" si="670"/>
        <v>0</v>
      </c>
      <c r="FI150" s="718"/>
      <c r="FJ150" s="701" t="str">
        <f t="shared" si="697"/>
        <v/>
      </c>
      <c r="FK150" s="66">
        <f t="shared" si="671"/>
        <v>0</v>
      </c>
      <c r="FL150" s="717"/>
      <c r="FM150" s="716"/>
      <c r="FN150" s="701" t="str">
        <f t="shared" si="698"/>
        <v/>
      </c>
      <c r="FO150" s="66">
        <f t="shared" si="672"/>
        <v>0</v>
      </c>
      <c r="FP150" s="717"/>
      <c r="FQ150" s="716"/>
      <c r="FR150" s="701" t="str">
        <f t="shared" si="699"/>
        <v/>
      </c>
      <c r="FS150" s="66">
        <f t="shared" si="673"/>
        <v>0</v>
      </c>
      <c r="FT150" s="717"/>
      <c r="FU150" s="716"/>
      <c r="FV150" s="701" t="str">
        <f t="shared" si="700"/>
        <v/>
      </c>
      <c r="FW150" s="66">
        <f t="shared" si="674"/>
        <v>0</v>
      </c>
      <c r="FX150" s="717"/>
      <c r="FY150" s="716"/>
      <c r="FZ150" s="701" t="str">
        <f t="shared" si="701"/>
        <v/>
      </c>
      <c r="GA150" s="66">
        <f t="shared" si="675"/>
        <v>0</v>
      </c>
      <c r="GB150" s="717"/>
      <c r="GC150" s="716"/>
      <c r="GD150" s="701" t="str">
        <f t="shared" si="702"/>
        <v/>
      </c>
      <c r="GE150" s="66">
        <f t="shared" si="676"/>
        <v>0</v>
      </c>
      <c r="GF150" s="717"/>
      <c r="GG150" s="716"/>
      <c r="GH150" s="701" t="str">
        <f t="shared" si="703"/>
        <v/>
      </c>
      <c r="GI150" s="66">
        <f t="shared" si="677"/>
        <v>0</v>
      </c>
      <c r="GJ150" s="717"/>
      <c r="GK150" s="716"/>
      <c r="GL150" s="701" t="str">
        <f t="shared" si="704"/>
        <v/>
      </c>
      <c r="GM150" s="66">
        <f t="shared" si="678"/>
        <v>0</v>
      </c>
      <c r="GN150" s="717"/>
      <c r="GO150" s="716"/>
      <c r="GP150" s="701" t="str">
        <f t="shared" si="705"/>
        <v/>
      </c>
      <c r="GQ150" s="66">
        <f t="shared" si="679"/>
        <v>0</v>
      </c>
      <c r="GR150" s="717"/>
      <c r="GS150" s="716"/>
      <c r="GT150" s="701" t="str">
        <f t="shared" si="706"/>
        <v/>
      </c>
      <c r="GU150" s="66">
        <f t="shared" si="680"/>
        <v>0</v>
      </c>
      <c r="GV150" s="717"/>
      <c r="GW150" s="716"/>
      <c r="GX150" s="701" t="str">
        <f t="shared" si="707"/>
        <v/>
      </c>
      <c r="GY150" s="66">
        <f t="shared" si="681"/>
        <v>0</v>
      </c>
      <c r="GZ150" s="717"/>
      <c r="HA150" s="716"/>
      <c r="HB150" s="701" t="str">
        <f t="shared" si="708"/>
        <v/>
      </c>
      <c r="HC150" s="66">
        <f t="shared" si="682"/>
        <v>0</v>
      </c>
      <c r="HD150" s="717"/>
      <c r="HE150" s="716"/>
      <c r="HF150" s="701" t="str">
        <f t="shared" si="709"/>
        <v/>
      </c>
      <c r="HG150" s="66">
        <f t="shared" si="683"/>
        <v>0</v>
      </c>
      <c r="HH150" s="717"/>
      <c r="HI150" s="716"/>
      <c r="HJ150" s="701" t="str">
        <f t="shared" si="710"/>
        <v/>
      </c>
      <c r="HK150" s="66">
        <f t="shared" si="684"/>
        <v>0</v>
      </c>
      <c r="HL150" s="717"/>
      <c r="HM150" s="716"/>
      <c r="HN150" s="701" t="str">
        <f t="shared" si="711"/>
        <v/>
      </c>
      <c r="HO150" s="66">
        <f t="shared" si="685"/>
        <v>0</v>
      </c>
      <c r="HP150" s="717"/>
      <c r="HQ150" s="716"/>
      <c r="HR150" s="701" t="str">
        <f t="shared" si="712"/>
        <v/>
      </c>
      <c r="HS150" s="66">
        <f t="shared" si="686"/>
        <v>0</v>
      </c>
      <c r="HT150" s="717"/>
      <c r="HU150" s="716"/>
      <c r="HV150" s="701" t="str">
        <f t="shared" si="713"/>
        <v/>
      </c>
      <c r="HW150" s="66">
        <f t="shared" si="687"/>
        <v>0</v>
      </c>
      <c r="HX150" s="717"/>
      <c r="HY150" s="716"/>
      <c r="HZ150" s="701" t="str">
        <f t="shared" si="714"/>
        <v/>
      </c>
      <c r="IA150" s="66">
        <f t="shared" si="688"/>
        <v>0</v>
      </c>
      <c r="IB150" s="717"/>
      <c r="IC150" s="716"/>
      <c r="ID150" s="701" t="str">
        <f t="shared" si="715"/>
        <v/>
      </c>
      <c r="IE150" s="66">
        <f t="shared" si="689"/>
        <v>0</v>
      </c>
      <c r="IF150" s="717"/>
      <c r="IG150" s="716"/>
      <c r="IH150" s="701" t="str">
        <f t="shared" si="716"/>
        <v/>
      </c>
      <c r="II150" s="66">
        <f t="shared" si="690"/>
        <v>0</v>
      </c>
      <c r="IJ150" s="717"/>
      <c r="IK150" s="716"/>
      <c r="IL150" s="701" t="str">
        <f t="shared" si="717"/>
        <v/>
      </c>
      <c r="IM150" s="66">
        <f t="shared" si="691"/>
        <v>0</v>
      </c>
      <c r="IN150" s="717"/>
      <c r="IO150" s="716"/>
      <c r="IP150" s="701" t="str">
        <f t="shared" si="718"/>
        <v/>
      </c>
      <c r="IQ150" s="66">
        <f t="shared" si="692"/>
        <v>0</v>
      </c>
      <c r="IR150" s="717"/>
      <c r="IS150" s="716"/>
      <c r="IT150" s="701" t="str">
        <f t="shared" si="719"/>
        <v/>
      </c>
      <c r="IU150" s="66">
        <f t="shared" si="693"/>
        <v>0</v>
      </c>
      <c r="IV150" s="717"/>
      <c r="IW150" s="716"/>
      <c r="IX150" s="701" t="str">
        <f t="shared" si="720"/>
        <v/>
      </c>
      <c r="IY150" s="66">
        <f t="shared" si="694"/>
        <v>0</v>
      </c>
    </row>
    <row r="151" spans="44:259" ht="13.3" thickTop="1" thickBot="1" x14ac:dyDescent="0.35">
      <c r="AR151" s="1"/>
      <c r="AT151" s="1380">
        <f t="shared" si="657"/>
        <v>1</v>
      </c>
      <c r="AU151" s="1222">
        <f t="shared" si="651"/>
        <v>1</v>
      </c>
      <c r="AV151" s="1219">
        <f t="shared" si="652"/>
        <v>0</v>
      </c>
      <c r="AW151" s="1384">
        <f t="shared" si="648"/>
        <v>0</v>
      </c>
      <c r="AX151" s="1220">
        <f t="shared" si="649"/>
        <v>1</v>
      </c>
      <c r="AY151" s="2">
        <f t="shared" si="653"/>
        <v>5</v>
      </c>
      <c r="AZ151" s="2">
        <f t="shared" ref="AZ151:BI151" si="729">IF($AU$7*AZ$129-$H46&lt;-$AU$7,$AU$7,$AU$7*AZ$129-$H46)</f>
        <v>5</v>
      </c>
      <c r="BA151" s="2">
        <f t="shared" si="729"/>
        <v>10</v>
      </c>
      <c r="BB151" s="2">
        <f t="shared" si="729"/>
        <v>15</v>
      </c>
      <c r="BC151" s="2">
        <f t="shared" si="729"/>
        <v>20</v>
      </c>
      <c r="BD151" s="2">
        <f t="shared" si="729"/>
        <v>25</v>
      </c>
      <c r="BE151" s="2">
        <f t="shared" si="729"/>
        <v>30</v>
      </c>
      <c r="BF151" s="2">
        <f t="shared" si="729"/>
        <v>35</v>
      </c>
      <c r="BG151" s="2">
        <f t="shared" si="729"/>
        <v>40</v>
      </c>
      <c r="BH151" s="2">
        <f t="shared" si="729"/>
        <v>45</v>
      </c>
      <c r="BI151" s="2">
        <f t="shared" si="729"/>
        <v>50</v>
      </c>
      <c r="BJ151" s="2">
        <v>22</v>
      </c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>
        <v>11</v>
      </c>
      <c r="FC151" s="735" t="str">
        <f t="shared" si="666"/>
        <v/>
      </c>
      <c r="FD151" s="734" t="str">
        <f t="shared" si="696"/>
        <v/>
      </c>
      <c r="FE151" s="18">
        <f t="shared" si="667"/>
        <v>0</v>
      </c>
      <c r="FF151" s="275" t="str">
        <f t="shared" si="668"/>
        <v/>
      </c>
      <c r="FG151" s="145" t="str">
        <f t="shared" si="669"/>
        <v/>
      </c>
      <c r="FH151" s="726">
        <f t="shared" si="670"/>
        <v>0</v>
      </c>
      <c r="FI151" s="718"/>
      <c r="FJ151" s="701" t="str">
        <f t="shared" si="697"/>
        <v/>
      </c>
      <c r="FK151" s="66">
        <f t="shared" si="671"/>
        <v>0</v>
      </c>
      <c r="FL151" s="717"/>
      <c r="FM151" s="716"/>
      <c r="FN151" s="701" t="str">
        <f t="shared" si="698"/>
        <v/>
      </c>
      <c r="FO151" s="66">
        <f t="shared" si="672"/>
        <v>0</v>
      </c>
      <c r="FP151" s="717"/>
      <c r="FQ151" s="716"/>
      <c r="FR151" s="701" t="str">
        <f t="shared" si="699"/>
        <v/>
      </c>
      <c r="FS151" s="66">
        <f t="shared" si="673"/>
        <v>0</v>
      </c>
      <c r="FT151" s="717"/>
      <c r="FU151" s="716"/>
      <c r="FV151" s="701" t="str">
        <f t="shared" si="700"/>
        <v/>
      </c>
      <c r="FW151" s="66">
        <f t="shared" si="674"/>
        <v>0</v>
      </c>
      <c r="FX151" s="717"/>
      <c r="FY151" s="716"/>
      <c r="FZ151" s="701" t="str">
        <f t="shared" si="701"/>
        <v/>
      </c>
      <c r="GA151" s="66">
        <f t="shared" si="675"/>
        <v>0</v>
      </c>
      <c r="GB151" s="717"/>
      <c r="GC151" s="716"/>
      <c r="GD151" s="701" t="str">
        <f t="shared" si="702"/>
        <v/>
      </c>
      <c r="GE151" s="66">
        <f t="shared" si="676"/>
        <v>0</v>
      </c>
      <c r="GF151" s="717"/>
      <c r="GG151" s="716"/>
      <c r="GH151" s="701" t="str">
        <f t="shared" si="703"/>
        <v/>
      </c>
      <c r="GI151" s="66">
        <f t="shared" si="677"/>
        <v>0</v>
      </c>
      <c r="GJ151" s="717"/>
      <c r="GK151" s="716"/>
      <c r="GL151" s="701" t="str">
        <f t="shared" si="704"/>
        <v/>
      </c>
      <c r="GM151" s="66">
        <f t="shared" si="678"/>
        <v>0</v>
      </c>
      <c r="GN151" s="717"/>
      <c r="GO151" s="716"/>
      <c r="GP151" s="701" t="str">
        <f t="shared" si="705"/>
        <v/>
      </c>
      <c r="GQ151" s="66">
        <f t="shared" si="679"/>
        <v>0</v>
      </c>
      <c r="GR151" s="717"/>
      <c r="GS151" s="716"/>
      <c r="GT151" s="701" t="str">
        <f t="shared" si="706"/>
        <v/>
      </c>
      <c r="GU151" s="66">
        <f t="shared" si="680"/>
        <v>0</v>
      </c>
      <c r="GV151" s="717"/>
      <c r="GW151" s="716"/>
      <c r="GX151" s="701" t="str">
        <f t="shared" si="707"/>
        <v/>
      </c>
      <c r="GY151" s="66">
        <f t="shared" si="681"/>
        <v>0</v>
      </c>
      <c r="GZ151" s="717"/>
      <c r="HA151" s="716"/>
      <c r="HB151" s="701" t="str">
        <f t="shared" si="708"/>
        <v/>
      </c>
      <c r="HC151" s="66">
        <f t="shared" si="682"/>
        <v>0</v>
      </c>
      <c r="HD151" s="717"/>
      <c r="HE151" s="716"/>
      <c r="HF151" s="701" t="str">
        <f t="shared" si="709"/>
        <v/>
      </c>
      <c r="HG151" s="66">
        <f t="shared" si="683"/>
        <v>0</v>
      </c>
      <c r="HH151" s="717"/>
      <c r="HI151" s="716"/>
      <c r="HJ151" s="701" t="str">
        <f t="shared" si="710"/>
        <v/>
      </c>
      <c r="HK151" s="66">
        <f t="shared" si="684"/>
        <v>0</v>
      </c>
      <c r="HL151" s="717"/>
      <c r="HM151" s="716"/>
      <c r="HN151" s="701" t="str">
        <f t="shared" si="711"/>
        <v/>
      </c>
      <c r="HO151" s="66">
        <f t="shared" si="685"/>
        <v>0</v>
      </c>
      <c r="HP151" s="717"/>
      <c r="HQ151" s="716"/>
      <c r="HR151" s="701" t="str">
        <f t="shared" si="712"/>
        <v/>
      </c>
      <c r="HS151" s="66">
        <f t="shared" si="686"/>
        <v>0</v>
      </c>
      <c r="HT151" s="717"/>
      <c r="HU151" s="716"/>
      <c r="HV151" s="701" t="str">
        <f t="shared" si="713"/>
        <v/>
      </c>
      <c r="HW151" s="66">
        <f t="shared" si="687"/>
        <v>0</v>
      </c>
      <c r="HX151" s="717"/>
      <c r="HY151" s="716"/>
      <c r="HZ151" s="701" t="str">
        <f t="shared" si="714"/>
        <v/>
      </c>
      <c r="IA151" s="66">
        <f t="shared" si="688"/>
        <v>0</v>
      </c>
      <c r="IB151" s="717"/>
      <c r="IC151" s="716"/>
      <c r="ID151" s="701" t="str">
        <f t="shared" si="715"/>
        <v/>
      </c>
      <c r="IE151" s="66">
        <f t="shared" si="689"/>
        <v>0</v>
      </c>
      <c r="IF151" s="717"/>
      <c r="IG151" s="716"/>
      <c r="IH151" s="701" t="str">
        <f t="shared" si="716"/>
        <v/>
      </c>
      <c r="II151" s="66">
        <f t="shared" si="690"/>
        <v>0</v>
      </c>
      <c r="IJ151" s="717"/>
      <c r="IK151" s="716"/>
      <c r="IL151" s="701" t="str">
        <f t="shared" si="717"/>
        <v/>
      </c>
      <c r="IM151" s="66">
        <f t="shared" si="691"/>
        <v>0</v>
      </c>
      <c r="IN151" s="717"/>
      <c r="IO151" s="716"/>
      <c r="IP151" s="701" t="str">
        <f t="shared" si="718"/>
        <v/>
      </c>
      <c r="IQ151" s="66">
        <f t="shared" si="692"/>
        <v>0</v>
      </c>
      <c r="IR151" s="717"/>
      <c r="IS151" s="716"/>
      <c r="IT151" s="701" t="str">
        <f t="shared" si="719"/>
        <v/>
      </c>
      <c r="IU151" s="66">
        <f t="shared" si="693"/>
        <v>0</v>
      </c>
      <c r="IV151" s="717"/>
      <c r="IW151" s="716"/>
      <c r="IX151" s="701" t="str">
        <f t="shared" si="720"/>
        <v/>
      </c>
      <c r="IY151" s="66">
        <f t="shared" si="694"/>
        <v>0</v>
      </c>
    </row>
    <row r="152" spans="44:259" ht="13.3" thickTop="1" thickBot="1" x14ac:dyDescent="0.35">
      <c r="AR152" s="1"/>
      <c r="AT152" s="1380">
        <f t="shared" si="657"/>
        <v>1</v>
      </c>
      <c r="AU152" s="1222">
        <f t="shared" si="651"/>
        <v>1</v>
      </c>
      <c r="AV152" s="1219">
        <f t="shared" si="652"/>
        <v>0</v>
      </c>
      <c r="AW152" s="1384">
        <f t="shared" si="648"/>
        <v>0</v>
      </c>
      <c r="AX152" s="1220">
        <f t="shared" si="649"/>
        <v>1</v>
      </c>
      <c r="AY152" s="2">
        <f t="shared" si="653"/>
        <v>5</v>
      </c>
      <c r="AZ152" s="2">
        <f t="shared" ref="AZ152:BI152" si="730">IF($AU$7*AZ$129-$H47&lt;-$AU$7,$AU$7,$AU$7*AZ$129-$H47)</f>
        <v>5</v>
      </c>
      <c r="BA152" s="2">
        <f t="shared" si="730"/>
        <v>10</v>
      </c>
      <c r="BB152" s="2">
        <f t="shared" si="730"/>
        <v>15</v>
      </c>
      <c r="BC152" s="2">
        <f t="shared" si="730"/>
        <v>20</v>
      </c>
      <c r="BD152" s="2">
        <f t="shared" si="730"/>
        <v>25</v>
      </c>
      <c r="BE152" s="2">
        <f t="shared" si="730"/>
        <v>30</v>
      </c>
      <c r="BF152" s="2">
        <f t="shared" si="730"/>
        <v>35</v>
      </c>
      <c r="BG152" s="2">
        <f t="shared" si="730"/>
        <v>40</v>
      </c>
      <c r="BH152" s="2">
        <f t="shared" si="730"/>
        <v>45</v>
      </c>
      <c r="BI152" s="2">
        <f t="shared" si="730"/>
        <v>50</v>
      </c>
      <c r="BJ152" s="2">
        <v>23</v>
      </c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>
        <v>12</v>
      </c>
      <c r="FC152" s="735" t="str">
        <f t="shared" si="666"/>
        <v/>
      </c>
      <c r="FD152" s="734" t="str">
        <f t="shared" si="696"/>
        <v/>
      </c>
      <c r="FE152" s="18">
        <f t="shared" si="667"/>
        <v>0</v>
      </c>
      <c r="FF152" s="275" t="str">
        <f t="shared" si="668"/>
        <v/>
      </c>
      <c r="FG152" s="145" t="str">
        <f t="shared" si="669"/>
        <v/>
      </c>
      <c r="FH152" s="726">
        <f t="shared" si="670"/>
        <v>0</v>
      </c>
      <c r="FI152" s="718"/>
      <c r="FJ152" s="701" t="str">
        <f t="shared" si="697"/>
        <v/>
      </c>
      <c r="FK152" s="66">
        <f t="shared" si="671"/>
        <v>0</v>
      </c>
      <c r="FL152" s="717"/>
      <c r="FM152" s="716"/>
      <c r="FN152" s="701" t="str">
        <f t="shared" si="698"/>
        <v/>
      </c>
      <c r="FO152" s="66">
        <f t="shared" si="672"/>
        <v>0</v>
      </c>
      <c r="FP152" s="717"/>
      <c r="FQ152" s="716"/>
      <c r="FR152" s="701" t="str">
        <f t="shared" si="699"/>
        <v/>
      </c>
      <c r="FS152" s="66">
        <f t="shared" si="673"/>
        <v>0</v>
      </c>
      <c r="FT152" s="717"/>
      <c r="FU152" s="716"/>
      <c r="FV152" s="701" t="str">
        <f t="shared" si="700"/>
        <v/>
      </c>
      <c r="FW152" s="66">
        <f t="shared" si="674"/>
        <v>0</v>
      </c>
      <c r="FX152" s="717"/>
      <c r="FY152" s="716"/>
      <c r="FZ152" s="701" t="str">
        <f t="shared" si="701"/>
        <v/>
      </c>
      <c r="GA152" s="66">
        <f t="shared" si="675"/>
        <v>0</v>
      </c>
      <c r="GB152" s="717"/>
      <c r="GC152" s="716"/>
      <c r="GD152" s="701" t="str">
        <f t="shared" si="702"/>
        <v/>
      </c>
      <c r="GE152" s="66">
        <f t="shared" si="676"/>
        <v>0</v>
      </c>
      <c r="GF152" s="717"/>
      <c r="GG152" s="716"/>
      <c r="GH152" s="701" t="str">
        <f t="shared" si="703"/>
        <v/>
      </c>
      <c r="GI152" s="66">
        <f t="shared" si="677"/>
        <v>0</v>
      </c>
      <c r="GJ152" s="717"/>
      <c r="GK152" s="716"/>
      <c r="GL152" s="701" t="str">
        <f t="shared" si="704"/>
        <v/>
      </c>
      <c r="GM152" s="66">
        <f t="shared" si="678"/>
        <v>0</v>
      </c>
      <c r="GN152" s="717"/>
      <c r="GO152" s="716"/>
      <c r="GP152" s="701" t="str">
        <f t="shared" si="705"/>
        <v/>
      </c>
      <c r="GQ152" s="66">
        <f t="shared" si="679"/>
        <v>0</v>
      </c>
      <c r="GR152" s="717"/>
      <c r="GS152" s="716"/>
      <c r="GT152" s="701" t="str">
        <f t="shared" si="706"/>
        <v/>
      </c>
      <c r="GU152" s="66">
        <f t="shared" si="680"/>
        <v>0</v>
      </c>
      <c r="GV152" s="717"/>
      <c r="GW152" s="716"/>
      <c r="GX152" s="701" t="str">
        <f t="shared" si="707"/>
        <v/>
      </c>
      <c r="GY152" s="66">
        <f t="shared" si="681"/>
        <v>0</v>
      </c>
      <c r="GZ152" s="717"/>
      <c r="HA152" s="716"/>
      <c r="HB152" s="701" t="str">
        <f t="shared" si="708"/>
        <v/>
      </c>
      <c r="HC152" s="66">
        <f t="shared" si="682"/>
        <v>0</v>
      </c>
      <c r="HD152" s="717"/>
      <c r="HE152" s="716"/>
      <c r="HF152" s="701" t="str">
        <f t="shared" si="709"/>
        <v/>
      </c>
      <c r="HG152" s="66">
        <f t="shared" si="683"/>
        <v>0</v>
      </c>
      <c r="HH152" s="717"/>
      <c r="HI152" s="716"/>
      <c r="HJ152" s="701" t="str">
        <f t="shared" si="710"/>
        <v/>
      </c>
      <c r="HK152" s="66">
        <f t="shared" si="684"/>
        <v>0</v>
      </c>
      <c r="HL152" s="717"/>
      <c r="HM152" s="716"/>
      <c r="HN152" s="701" t="str">
        <f t="shared" si="711"/>
        <v/>
      </c>
      <c r="HO152" s="66">
        <f t="shared" si="685"/>
        <v>0</v>
      </c>
      <c r="HP152" s="717"/>
      <c r="HQ152" s="716"/>
      <c r="HR152" s="701" t="str">
        <f t="shared" si="712"/>
        <v/>
      </c>
      <c r="HS152" s="66">
        <f t="shared" si="686"/>
        <v>0</v>
      </c>
      <c r="HT152" s="717"/>
      <c r="HU152" s="716"/>
      <c r="HV152" s="701" t="str">
        <f t="shared" si="713"/>
        <v/>
      </c>
      <c r="HW152" s="66">
        <f t="shared" si="687"/>
        <v>0</v>
      </c>
      <c r="HX152" s="717"/>
      <c r="HY152" s="716"/>
      <c r="HZ152" s="701" t="str">
        <f t="shared" si="714"/>
        <v/>
      </c>
      <c r="IA152" s="66">
        <f t="shared" si="688"/>
        <v>0</v>
      </c>
      <c r="IB152" s="717"/>
      <c r="IC152" s="716"/>
      <c r="ID152" s="701" t="str">
        <f t="shared" si="715"/>
        <v/>
      </c>
      <c r="IE152" s="66">
        <f t="shared" si="689"/>
        <v>0</v>
      </c>
      <c r="IF152" s="717"/>
      <c r="IG152" s="716"/>
      <c r="IH152" s="701" t="str">
        <f t="shared" si="716"/>
        <v/>
      </c>
      <c r="II152" s="66">
        <f t="shared" si="690"/>
        <v>0</v>
      </c>
      <c r="IJ152" s="717"/>
      <c r="IK152" s="716"/>
      <c r="IL152" s="701" t="str">
        <f t="shared" si="717"/>
        <v/>
      </c>
      <c r="IM152" s="66">
        <f t="shared" si="691"/>
        <v>0</v>
      </c>
      <c r="IN152" s="717"/>
      <c r="IO152" s="716"/>
      <c r="IP152" s="701" t="str">
        <f t="shared" si="718"/>
        <v/>
      </c>
      <c r="IQ152" s="66">
        <f t="shared" si="692"/>
        <v>0</v>
      </c>
      <c r="IR152" s="717"/>
      <c r="IS152" s="716"/>
      <c r="IT152" s="701" t="str">
        <f t="shared" si="719"/>
        <v/>
      </c>
      <c r="IU152" s="66">
        <f t="shared" si="693"/>
        <v>0</v>
      </c>
      <c r="IV152" s="717"/>
      <c r="IW152" s="716"/>
      <c r="IX152" s="701" t="str">
        <f t="shared" si="720"/>
        <v/>
      </c>
      <c r="IY152" s="66">
        <f t="shared" si="694"/>
        <v>0</v>
      </c>
    </row>
    <row r="153" spans="44:259" ht="13.3" thickTop="1" thickBot="1" x14ac:dyDescent="0.35">
      <c r="AR153" s="1"/>
      <c r="AT153" s="1380">
        <f t="shared" si="657"/>
        <v>1</v>
      </c>
      <c r="AU153" s="1222">
        <f t="shared" si="651"/>
        <v>1</v>
      </c>
      <c r="AV153" s="1219">
        <f t="shared" si="652"/>
        <v>0</v>
      </c>
      <c r="AW153" s="1384">
        <f t="shared" si="648"/>
        <v>0</v>
      </c>
      <c r="AX153" s="1220">
        <f t="shared" si="649"/>
        <v>1</v>
      </c>
      <c r="AY153" s="2">
        <f t="shared" si="653"/>
        <v>5</v>
      </c>
      <c r="AZ153" s="2">
        <f t="shared" ref="AZ153:BI153" si="731">IF($AU$7*AZ$129-$H48&lt;-$AU$7,$AU$7,$AU$7*AZ$129-$H48)</f>
        <v>5</v>
      </c>
      <c r="BA153" s="2">
        <f t="shared" si="731"/>
        <v>10</v>
      </c>
      <c r="BB153" s="2">
        <f t="shared" si="731"/>
        <v>15</v>
      </c>
      <c r="BC153" s="2">
        <f t="shared" si="731"/>
        <v>20</v>
      </c>
      <c r="BD153" s="2">
        <f t="shared" si="731"/>
        <v>25</v>
      </c>
      <c r="BE153" s="2">
        <f t="shared" si="731"/>
        <v>30</v>
      </c>
      <c r="BF153" s="2">
        <f t="shared" si="731"/>
        <v>35</v>
      </c>
      <c r="BG153" s="2">
        <f t="shared" si="731"/>
        <v>40</v>
      </c>
      <c r="BH153" s="2">
        <f t="shared" si="731"/>
        <v>45</v>
      </c>
      <c r="BI153" s="2">
        <f t="shared" si="731"/>
        <v>50</v>
      </c>
      <c r="BJ153" s="2">
        <v>24</v>
      </c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>
        <v>13</v>
      </c>
      <c r="FC153" s="735" t="str">
        <f t="shared" si="666"/>
        <v/>
      </c>
      <c r="FD153" s="734" t="str">
        <f t="shared" si="696"/>
        <v/>
      </c>
      <c r="FE153" s="18">
        <f t="shared" si="667"/>
        <v>0</v>
      </c>
      <c r="FF153" s="275" t="str">
        <f t="shared" si="668"/>
        <v/>
      </c>
      <c r="FG153" s="145" t="str">
        <f t="shared" si="669"/>
        <v/>
      </c>
      <c r="FH153" s="726">
        <f t="shared" si="670"/>
        <v>0</v>
      </c>
      <c r="FI153" s="718"/>
      <c r="FJ153" s="701" t="str">
        <f t="shared" si="697"/>
        <v/>
      </c>
      <c r="FK153" s="66">
        <f t="shared" si="671"/>
        <v>0</v>
      </c>
      <c r="FL153" s="717"/>
      <c r="FM153" s="716"/>
      <c r="FN153" s="701" t="str">
        <f t="shared" si="698"/>
        <v/>
      </c>
      <c r="FO153" s="66">
        <f t="shared" si="672"/>
        <v>0</v>
      </c>
      <c r="FP153" s="717"/>
      <c r="FQ153" s="716"/>
      <c r="FR153" s="701" t="str">
        <f t="shared" si="699"/>
        <v/>
      </c>
      <c r="FS153" s="66">
        <f t="shared" si="673"/>
        <v>0</v>
      </c>
      <c r="FT153" s="717"/>
      <c r="FU153" s="716"/>
      <c r="FV153" s="701" t="str">
        <f t="shared" si="700"/>
        <v/>
      </c>
      <c r="FW153" s="66">
        <f t="shared" si="674"/>
        <v>0</v>
      </c>
      <c r="FX153" s="717"/>
      <c r="FY153" s="716"/>
      <c r="FZ153" s="701" t="str">
        <f t="shared" si="701"/>
        <v/>
      </c>
      <c r="GA153" s="66">
        <f t="shared" si="675"/>
        <v>0</v>
      </c>
      <c r="GB153" s="717"/>
      <c r="GC153" s="716"/>
      <c r="GD153" s="701" t="str">
        <f t="shared" si="702"/>
        <v/>
      </c>
      <c r="GE153" s="66">
        <f t="shared" si="676"/>
        <v>0</v>
      </c>
      <c r="GF153" s="717"/>
      <c r="GG153" s="716"/>
      <c r="GH153" s="701" t="str">
        <f t="shared" si="703"/>
        <v/>
      </c>
      <c r="GI153" s="66">
        <f t="shared" si="677"/>
        <v>0</v>
      </c>
      <c r="GJ153" s="717"/>
      <c r="GK153" s="716"/>
      <c r="GL153" s="701" t="str">
        <f t="shared" si="704"/>
        <v/>
      </c>
      <c r="GM153" s="66">
        <f t="shared" si="678"/>
        <v>0</v>
      </c>
      <c r="GN153" s="717"/>
      <c r="GO153" s="716"/>
      <c r="GP153" s="701" t="str">
        <f t="shared" si="705"/>
        <v/>
      </c>
      <c r="GQ153" s="66">
        <f t="shared" si="679"/>
        <v>0</v>
      </c>
      <c r="GR153" s="717"/>
      <c r="GS153" s="716"/>
      <c r="GT153" s="701" t="str">
        <f t="shared" si="706"/>
        <v/>
      </c>
      <c r="GU153" s="66">
        <f t="shared" si="680"/>
        <v>0</v>
      </c>
      <c r="GV153" s="717"/>
      <c r="GW153" s="716"/>
      <c r="GX153" s="701" t="str">
        <f t="shared" si="707"/>
        <v/>
      </c>
      <c r="GY153" s="66">
        <f t="shared" si="681"/>
        <v>0</v>
      </c>
      <c r="GZ153" s="717"/>
      <c r="HA153" s="716"/>
      <c r="HB153" s="701" t="str">
        <f t="shared" si="708"/>
        <v/>
      </c>
      <c r="HC153" s="66">
        <f t="shared" si="682"/>
        <v>0</v>
      </c>
      <c r="HD153" s="717"/>
      <c r="HE153" s="716"/>
      <c r="HF153" s="701" t="str">
        <f t="shared" si="709"/>
        <v/>
      </c>
      <c r="HG153" s="66">
        <f t="shared" si="683"/>
        <v>0</v>
      </c>
      <c r="HH153" s="717"/>
      <c r="HI153" s="716"/>
      <c r="HJ153" s="701" t="str">
        <f t="shared" si="710"/>
        <v/>
      </c>
      <c r="HK153" s="66">
        <f t="shared" si="684"/>
        <v>0</v>
      </c>
      <c r="HL153" s="717"/>
      <c r="HM153" s="716"/>
      <c r="HN153" s="701" t="str">
        <f t="shared" si="711"/>
        <v/>
      </c>
      <c r="HO153" s="66">
        <f t="shared" si="685"/>
        <v>0</v>
      </c>
      <c r="HP153" s="717"/>
      <c r="HQ153" s="716"/>
      <c r="HR153" s="701" t="str">
        <f t="shared" si="712"/>
        <v/>
      </c>
      <c r="HS153" s="66">
        <f t="shared" si="686"/>
        <v>0</v>
      </c>
      <c r="HT153" s="717"/>
      <c r="HU153" s="716"/>
      <c r="HV153" s="701" t="str">
        <f t="shared" si="713"/>
        <v/>
      </c>
      <c r="HW153" s="66">
        <f t="shared" si="687"/>
        <v>0</v>
      </c>
      <c r="HX153" s="717"/>
      <c r="HY153" s="716"/>
      <c r="HZ153" s="701" t="str">
        <f t="shared" si="714"/>
        <v/>
      </c>
      <c r="IA153" s="66">
        <f t="shared" si="688"/>
        <v>0</v>
      </c>
      <c r="IB153" s="717"/>
      <c r="IC153" s="716"/>
      <c r="ID153" s="701" t="str">
        <f t="shared" si="715"/>
        <v/>
      </c>
      <c r="IE153" s="66">
        <f t="shared" si="689"/>
        <v>0</v>
      </c>
      <c r="IF153" s="717"/>
      <c r="IG153" s="716"/>
      <c r="IH153" s="701" t="str">
        <f t="shared" si="716"/>
        <v/>
      </c>
      <c r="II153" s="66">
        <f t="shared" si="690"/>
        <v>0</v>
      </c>
      <c r="IJ153" s="717"/>
      <c r="IK153" s="716"/>
      <c r="IL153" s="701" t="str">
        <f t="shared" si="717"/>
        <v/>
      </c>
      <c r="IM153" s="66">
        <f t="shared" si="691"/>
        <v>0</v>
      </c>
      <c r="IN153" s="717"/>
      <c r="IO153" s="716"/>
      <c r="IP153" s="701" t="str">
        <f t="shared" si="718"/>
        <v/>
      </c>
      <c r="IQ153" s="66">
        <f t="shared" si="692"/>
        <v>0</v>
      </c>
      <c r="IR153" s="717"/>
      <c r="IS153" s="716"/>
      <c r="IT153" s="701" t="str">
        <f t="shared" si="719"/>
        <v/>
      </c>
      <c r="IU153" s="66">
        <f t="shared" si="693"/>
        <v>0</v>
      </c>
      <c r="IV153" s="717"/>
      <c r="IW153" s="716"/>
      <c r="IX153" s="701" t="str">
        <f t="shared" si="720"/>
        <v/>
      </c>
      <c r="IY153" s="66">
        <f t="shared" si="694"/>
        <v>0</v>
      </c>
    </row>
    <row r="154" spans="44:259" ht="13.3" thickTop="1" thickBot="1" x14ac:dyDescent="0.35">
      <c r="AR154" s="1"/>
      <c r="AT154" s="1380">
        <f t="shared" si="657"/>
        <v>1</v>
      </c>
      <c r="AU154" s="1222">
        <f t="shared" si="651"/>
        <v>1</v>
      </c>
      <c r="AV154" s="1219">
        <f t="shared" si="652"/>
        <v>0</v>
      </c>
      <c r="AW154" s="1384">
        <f t="shared" si="648"/>
        <v>0</v>
      </c>
      <c r="AX154" s="1220">
        <f t="shared" si="649"/>
        <v>1</v>
      </c>
      <c r="AY154" s="2">
        <f t="shared" si="653"/>
        <v>5</v>
      </c>
      <c r="AZ154" s="2">
        <f t="shared" ref="AZ154:BI154" si="732">IF($AU$7*AZ$129-$H49&lt;-$AU$7,$AU$7,$AU$7*AZ$129-$H49)</f>
        <v>5</v>
      </c>
      <c r="BA154" s="2">
        <f t="shared" si="732"/>
        <v>10</v>
      </c>
      <c r="BB154" s="2">
        <f t="shared" si="732"/>
        <v>15</v>
      </c>
      <c r="BC154" s="2">
        <f t="shared" si="732"/>
        <v>20</v>
      </c>
      <c r="BD154" s="2">
        <f t="shared" si="732"/>
        <v>25</v>
      </c>
      <c r="BE154" s="2">
        <f t="shared" si="732"/>
        <v>30</v>
      </c>
      <c r="BF154" s="2">
        <f t="shared" si="732"/>
        <v>35</v>
      </c>
      <c r="BG154" s="2">
        <f t="shared" si="732"/>
        <v>40</v>
      </c>
      <c r="BH154" s="2">
        <f t="shared" si="732"/>
        <v>45</v>
      </c>
      <c r="BI154" s="2">
        <f t="shared" si="732"/>
        <v>50</v>
      </c>
      <c r="BJ154" s="2">
        <v>25</v>
      </c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>
        <v>14</v>
      </c>
      <c r="FC154" s="735" t="str">
        <f t="shared" si="666"/>
        <v/>
      </c>
      <c r="FD154" s="734" t="str">
        <f t="shared" si="696"/>
        <v/>
      </c>
      <c r="FE154" s="18">
        <f t="shared" si="667"/>
        <v>0</v>
      </c>
      <c r="FF154" s="275" t="str">
        <f t="shared" si="668"/>
        <v/>
      </c>
      <c r="FG154" s="145" t="str">
        <f t="shared" si="669"/>
        <v/>
      </c>
      <c r="FH154" s="726">
        <f t="shared" si="670"/>
        <v>0</v>
      </c>
      <c r="FI154" s="718"/>
      <c r="FJ154" s="701" t="str">
        <f t="shared" si="697"/>
        <v/>
      </c>
      <c r="FK154" s="66">
        <f t="shared" si="671"/>
        <v>0</v>
      </c>
      <c r="FL154" s="717"/>
      <c r="FM154" s="716"/>
      <c r="FN154" s="701" t="str">
        <f t="shared" si="698"/>
        <v/>
      </c>
      <c r="FO154" s="66">
        <f t="shared" si="672"/>
        <v>0</v>
      </c>
      <c r="FP154" s="717"/>
      <c r="FQ154" s="716"/>
      <c r="FR154" s="701" t="str">
        <f t="shared" si="699"/>
        <v/>
      </c>
      <c r="FS154" s="66">
        <f t="shared" si="673"/>
        <v>0</v>
      </c>
      <c r="FT154" s="717"/>
      <c r="FU154" s="716"/>
      <c r="FV154" s="701" t="str">
        <f t="shared" si="700"/>
        <v/>
      </c>
      <c r="FW154" s="66">
        <f t="shared" si="674"/>
        <v>0</v>
      </c>
      <c r="FX154" s="717"/>
      <c r="FY154" s="716"/>
      <c r="FZ154" s="701" t="str">
        <f t="shared" si="701"/>
        <v/>
      </c>
      <c r="GA154" s="66">
        <f t="shared" si="675"/>
        <v>0</v>
      </c>
      <c r="GB154" s="717"/>
      <c r="GC154" s="716"/>
      <c r="GD154" s="701" t="str">
        <f t="shared" si="702"/>
        <v/>
      </c>
      <c r="GE154" s="66">
        <f t="shared" si="676"/>
        <v>0</v>
      </c>
      <c r="GF154" s="717"/>
      <c r="GG154" s="716"/>
      <c r="GH154" s="701" t="str">
        <f t="shared" si="703"/>
        <v/>
      </c>
      <c r="GI154" s="66">
        <f t="shared" si="677"/>
        <v>0</v>
      </c>
      <c r="GJ154" s="717"/>
      <c r="GK154" s="716"/>
      <c r="GL154" s="701" t="str">
        <f t="shared" si="704"/>
        <v/>
      </c>
      <c r="GM154" s="66">
        <f t="shared" si="678"/>
        <v>0</v>
      </c>
      <c r="GN154" s="717"/>
      <c r="GO154" s="716"/>
      <c r="GP154" s="701" t="str">
        <f t="shared" si="705"/>
        <v/>
      </c>
      <c r="GQ154" s="66">
        <f t="shared" si="679"/>
        <v>0</v>
      </c>
      <c r="GR154" s="717"/>
      <c r="GS154" s="716"/>
      <c r="GT154" s="701" t="str">
        <f t="shared" si="706"/>
        <v/>
      </c>
      <c r="GU154" s="66">
        <f t="shared" si="680"/>
        <v>0</v>
      </c>
      <c r="GV154" s="717"/>
      <c r="GW154" s="716"/>
      <c r="GX154" s="701" t="str">
        <f t="shared" si="707"/>
        <v/>
      </c>
      <c r="GY154" s="66">
        <f t="shared" si="681"/>
        <v>0</v>
      </c>
      <c r="GZ154" s="717"/>
      <c r="HA154" s="716"/>
      <c r="HB154" s="701" t="str">
        <f t="shared" si="708"/>
        <v/>
      </c>
      <c r="HC154" s="66">
        <f t="shared" si="682"/>
        <v>0</v>
      </c>
      <c r="HD154" s="717"/>
      <c r="HE154" s="716"/>
      <c r="HF154" s="701" t="str">
        <f t="shared" si="709"/>
        <v/>
      </c>
      <c r="HG154" s="66">
        <f t="shared" si="683"/>
        <v>0</v>
      </c>
      <c r="HH154" s="717"/>
      <c r="HI154" s="716"/>
      <c r="HJ154" s="701" t="str">
        <f t="shared" si="710"/>
        <v/>
      </c>
      <c r="HK154" s="66">
        <f t="shared" si="684"/>
        <v>0</v>
      </c>
      <c r="HL154" s="717"/>
      <c r="HM154" s="716"/>
      <c r="HN154" s="701" t="str">
        <f t="shared" si="711"/>
        <v/>
      </c>
      <c r="HO154" s="66">
        <f t="shared" si="685"/>
        <v>0</v>
      </c>
      <c r="HP154" s="717"/>
      <c r="HQ154" s="716"/>
      <c r="HR154" s="701" t="str">
        <f t="shared" si="712"/>
        <v/>
      </c>
      <c r="HS154" s="66">
        <f t="shared" si="686"/>
        <v>0</v>
      </c>
      <c r="HT154" s="717"/>
      <c r="HU154" s="716"/>
      <c r="HV154" s="701" t="str">
        <f t="shared" si="713"/>
        <v/>
      </c>
      <c r="HW154" s="66">
        <f t="shared" si="687"/>
        <v>0</v>
      </c>
      <c r="HX154" s="717"/>
      <c r="HY154" s="716"/>
      <c r="HZ154" s="701" t="str">
        <f t="shared" si="714"/>
        <v/>
      </c>
      <c r="IA154" s="66">
        <f t="shared" si="688"/>
        <v>0</v>
      </c>
      <c r="IB154" s="717"/>
      <c r="IC154" s="716"/>
      <c r="ID154" s="701" t="str">
        <f t="shared" si="715"/>
        <v/>
      </c>
      <c r="IE154" s="66">
        <f t="shared" si="689"/>
        <v>0</v>
      </c>
      <c r="IF154" s="717"/>
      <c r="IG154" s="716"/>
      <c r="IH154" s="701" t="str">
        <f t="shared" si="716"/>
        <v/>
      </c>
      <c r="II154" s="66">
        <f t="shared" si="690"/>
        <v>0</v>
      </c>
      <c r="IJ154" s="717"/>
      <c r="IK154" s="716"/>
      <c r="IL154" s="701" t="str">
        <f t="shared" si="717"/>
        <v/>
      </c>
      <c r="IM154" s="66">
        <f t="shared" si="691"/>
        <v>0</v>
      </c>
      <c r="IN154" s="717"/>
      <c r="IO154" s="716"/>
      <c r="IP154" s="701" t="str">
        <f t="shared" si="718"/>
        <v/>
      </c>
      <c r="IQ154" s="66">
        <f t="shared" si="692"/>
        <v>0</v>
      </c>
      <c r="IR154" s="717"/>
      <c r="IS154" s="716"/>
      <c r="IT154" s="701" t="str">
        <f t="shared" si="719"/>
        <v/>
      </c>
      <c r="IU154" s="66">
        <f t="shared" si="693"/>
        <v>0</v>
      </c>
      <c r="IV154" s="717"/>
      <c r="IW154" s="716"/>
      <c r="IX154" s="701" t="str">
        <f t="shared" si="720"/>
        <v/>
      </c>
      <c r="IY154" s="66">
        <f t="shared" si="694"/>
        <v>0</v>
      </c>
    </row>
    <row r="155" spans="44:259" ht="13.3" thickTop="1" thickBot="1" x14ac:dyDescent="0.35">
      <c r="AR155" s="1"/>
      <c r="AS155" s="1"/>
      <c r="AX155" s="2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>
        <v>15</v>
      </c>
      <c r="FC155" s="735" t="str">
        <f t="shared" si="666"/>
        <v/>
      </c>
      <c r="FD155" s="734" t="str">
        <f t="shared" si="696"/>
        <v/>
      </c>
      <c r="FE155" s="18">
        <f t="shared" si="667"/>
        <v>0</v>
      </c>
      <c r="FF155" s="275" t="str">
        <f t="shared" si="668"/>
        <v/>
      </c>
      <c r="FG155" s="145" t="str">
        <f t="shared" si="669"/>
        <v/>
      </c>
      <c r="FH155" s="726">
        <f t="shared" si="670"/>
        <v>0</v>
      </c>
      <c r="FI155" s="718"/>
      <c r="FJ155" s="701" t="str">
        <f t="shared" si="697"/>
        <v/>
      </c>
      <c r="FK155" s="66">
        <f t="shared" si="671"/>
        <v>0</v>
      </c>
      <c r="FL155" s="717"/>
      <c r="FM155" s="716"/>
      <c r="FN155" s="701" t="str">
        <f t="shared" si="698"/>
        <v/>
      </c>
      <c r="FO155" s="66">
        <f t="shared" si="672"/>
        <v>0</v>
      </c>
      <c r="FP155" s="717"/>
      <c r="FQ155" s="716"/>
      <c r="FR155" s="701" t="str">
        <f t="shared" si="699"/>
        <v/>
      </c>
      <c r="FS155" s="66">
        <f t="shared" si="673"/>
        <v>0</v>
      </c>
      <c r="FT155" s="717"/>
      <c r="FU155" s="716"/>
      <c r="FV155" s="701" t="str">
        <f t="shared" si="700"/>
        <v/>
      </c>
      <c r="FW155" s="66">
        <f t="shared" si="674"/>
        <v>0</v>
      </c>
      <c r="FX155" s="717"/>
      <c r="FY155" s="716"/>
      <c r="FZ155" s="701" t="str">
        <f t="shared" si="701"/>
        <v/>
      </c>
      <c r="GA155" s="66">
        <f t="shared" si="675"/>
        <v>0</v>
      </c>
      <c r="GB155" s="717"/>
      <c r="GC155" s="716"/>
      <c r="GD155" s="701" t="str">
        <f t="shared" si="702"/>
        <v/>
      </c>
      <c r="GE155" s="66">
        <f t="shared" si="676"/>
        <v>0</v>
      </c>
      <c r="GF155" s="717"/>
      <c r="GG155" s="716"/>
      <c r="GH155" s="701" t="str">
        <f t="shared" si="703"/>
        <v/>
      </c>
      <c r="GI155" s="66">
        <f t="shared" si="677"/>
        <v>0</v>
      </c>
      <c r="GJ155" s="717"/>
      <c r="GK155" s="716"/>
      <c r="GL155" s="701" t="str">
        <f t="shared" si="704"/>
        <v/>
      </c>
      <c r="GM155" s="66">
        <f t="shared" si="678"/>
        <v>0</v>
      </c>
      <c r="GN155" s="717"/>
      <c r="GO155" s="716"/>
      <c r="GP155" s="701" t="str">
        <f t="shared" si="705"/>
        <v/>
      </c>
      <c r="GQ155" s="66">
        <f t="shared" si="679"/>
        <v>0</v>
      </c>
      <c r="GR155" s="717"/>
      <c r="GS155" s="716"/>
      <c r="GT155" s="701" t="str">
        <f t="shared" si="706"/>
        <v/>
      </c>
      <c r="GU155" s="66">
        <f t="shared" si="680"/>
        <v>0</v>
      </c>
      <c r="GV155" s="717"/>
      <c r="GW155" s="716"/>
      <c r="GX155" s="701" t="str">
        <f t="shared" si="707"/>
        <v/>
      </c>
      <c r="GY155" s="66">
        <f t="shared" si="681"/>
        <v>0</v>
      </c>
      <c r="GZ155" s="717"/>
      <c r="HA155" s="716"/>
      <c r="HB155" s="701" t="str">
        <f t="shared" si="708"/>
        <v/>
      </c>
      <c r="HC155" s="66">
        <f t="shared" si="682"/>
        <v>0</v>
      </c>
      <c r="HD155" s="717"/>
      <c r="HE155" s="716"/>
      <c r="HF155" s="701" t="str">
        <f t="shared" si="709"/>
        <v/>
      </c>
      <c r="HG155" s="66">
        <f t="shared" si="683"/>
        <v>0</v>
      </c>
      <c r="HH155" s="717"/>
      <c r="HI155" s="716"/>
      <c r="HJ155" s="701" t="str">
        <f t="shared" si="710"/>
        <v/>
      </c>
      <c r="HK155" s="66">
        <f t="shared" si="684"/>
        <v>0</v>
      </c>
      <c r="HL155" s="717"/>
      <c r="HM155" s="716"/>
      <c r="HN155" s="701" t="str">
        <f t="shared" si="711"/>
        <v/>
      </c>
      <c r="HO155" s="66">
        <f t="shared" si="685"/>
        <v>0</v>
      </c>
      <c r="HP155" s="717"/>
      <c r="HQ155" s="716"/>
      <c r="HR155" s="701" t="str">
        <f t="shared" si="712"/>
        <v/>
      </c>
      <c r="HS155" s="66">
        <f t="shared" si="686"/>
        <v>0</v>
      </c>
      <c r="HT155" s="717"/>
      <c r="HU155" s="716"/>
      <c r="HV155" s="701" t="str">
        <f t="shared" si="713"/>
        <v/>
      </c>
      <c r="HW155" s="66">
        <f t="shared" si="687"/>
        <v>0</v>
      </c>
      <c r="HX155" s="717"/>
      <c r="HY155" s="716"/>
      <c r="HZ155" s="701" t="str">
        <f t="shared" si="714"/>
        <v/>
      </c>
      <c r="IA155" s="66">
        <f t="shared" si="688"/>
        <v>0</v>
      </c>
      <c r="IB155" s="717"/>
      <c r="IC155" s="716"/>
      <c r="ID155" s="701" t="str">
        <f t="shared" si="715"/>
        <v/>
      </c>
      <c r="IE155" s="66">
        <f t="shared" si="689"/>
        <v>0</v>
      </c>
      <c r="IF155" s="717"/>
      <c r="IG155" s="716"/>
      <c r="IH155" s="701" t="str">
        <f t="shared" si="716"/>
        <v/>
      </c>
      <c r="II155" s="66">
        <f t="shared" si="690"/>
        <v>0</v>
      </c>
      <c r="IJ155" s="717"/>
      <c r="IK155" s="716"/>
      <c r="IL155" s="701" t="str">
        <f t="shared" si="717"/>
        <v/>
      </c>
      <c r="IM155" s="66">
        <f t="shared" si="691"/>
        <v>0</v>
      </c>
      <c r="IN155" s="717"/>
      <c r="IO155" s="716"/>
      <c r="IP155" s="701" t="str">
        <f t="shared" si="718"/>
        <v/>
      </c>
      <c r="IQ155" s="66">
        <f t="shared" si="692"/>
        <v>0</v>
      </c>
      <c r="IR155" s="717"/>
      <c r="IS155" s="716"/>
      <c r="IT155" s="701" t="str">
        <f t="shared" si="719"/>
        <v/>
      </c>
      <c r="IU155" s="66">
        <f t="shared" si="693"/>
        <v>0</v>
      </c>
      <c r="IV155" s="717"/>
      <c r="IW155" s="716"/>
      <c r="IX155" s="701" t="str">
        <f t="shared" si="720"/>
        <v/>
      </c>
      <c r="IY155" s="66">
        <f t="shared" si="694"/>
        <v>0</v>
      </c>
    </row>
    <row r="156" spans="44:259" ht="13.3" thickTop="1" thickBot="1" x14ac:dyDescent="0.35">
      <c r="AR156" s="1"/>
      <c r="AS156" s="1"/>
      <c r="AX156" s="2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>
        <v>16</v>
      </c>
      <c r="FC156" s="735" t="str">
        <f t="shared" si="666"/>
        <v/>
      </c>
      <c r="FD156" s="734" t="str">
        <f t="shared" si="696"/>
        <v/>
      </c>
      <c r="FE156" s="18">
        <f t="shared" si="667"/>
        <v>0</v>
      </c>
      <c r="FF156" s="275" t="str">
        <f t="shared" si="668"/>
        <v/>
      </c>
      <c r="FG156" s="145" t="str">
        <f t="shared" si="669"/>
        <v/>
      </c>
      <c r="FH156" s="726">
        <f t="shared" si="670"/>
        <v>0</v>
      </c>
      <c r="FI156" s="718"/>
      <c r="FJ156" s="701" t="str">
        <f t="shared" si="697"/>
        <v/>
      </c>
      <c r="FK156" s="66">
        <f t="shared" si="671"/>
        <v>0</v>
      </c>
      <c r="FL156" s="717"/>
      <c r="FM156" s="716"/>
      <c r="FN156" s="701" t="str">
        <f t="shared" si="698"/>
        <v/>
      </c>
      <c r="FO156" s="66">
        <f t="shared" si="672"/>
        <v>0</v>
      </c>
      <c r="FP156" s="717"/>
      <c r="FQ156" s="716"/>
      <c r="FR156" s="701" t="str">
        <f t="shared" si="699"/>
        <v/>
      </c>
      <c r="FS156" s="66">
        <f t="shared" si="673"/>
        <v>0</v>
      </c>
      <c r="FT156" s="717"/>
      <c r="FU156" s="716"/>
      <c r="FV156" s="701" t="str">
        <f t="shared" si="700"/>
        <v/>
      </c>
      <c r="FW156" s="66">
        <f t="shared" si="674"/>
        <v>0</v>
      </c>
      <c r="FX156" s="717"/>
      <c r="FY156" s="716"/>
      <c r="FZ156" s="701" t="str">
        <f t="shared" si="701"/>
        <v/>
      </c>
      <c r="GA156" s="66">
        <f t="shared" si="675"/>
        <v>0</v>
      </c>
      <c r="GB156" s="717"/>
      <c r="GC156" s="716"/>
      <c r="GD156" s="701" t="str">
        <f t="shared" si="702"/>
        <v/>
      </c>
      <c r="GE156" s="66">
        <f t="shared" si="676"/>
        <v>0</v>
      </c>
      <c r="GF156" s="717"/>
      <c r="GG156" s="716"/>
      <c r="GH156" s="701" t="str">
        <f t="shared" si="703"/>
        <v/>
      </c>
      <c r="GI156" s="66">
        <f t="shared" si="677"/>
        <v>0</v>
      </c>
      <c r="GJ156" s="717"/>
      <c r="GK156" s="716"/>
      <c r="GL156" s="701" t="str">
        <f t="shared" si="704"/>
        <v/>
      </c>
      <c r="GM156" s="66">
        <f t="shared" si="678"/>
        <v>0</v>
      </c>
      <c r="GN156" s="717"/>
      <c r="GO156" s="716"/>
      <c r="GP156" s="701" t="str">
        <f t="shared" si="705"/>
        <v/>
      </c>
      <c r="GQ156" s="66">
        <f t="shared" si="679"/>
        <v>0</v>
      </c>
      <c r="GR156" s="717"/>
      <c r="GS156" s="716"/>
      <c r="GT156" s="701" t="str">
        <f t="shared" si="706"/>
        <v/>
      </c>
      <c r="GU156" s="66">
        <f t="shared" si="680"/>
        <v>0</v>
      </c>
      <c r="GV156" s="717"/>
      <c r="GW156" s="716"/>
      <c r="GX156" s="701" t="str">
        <f t="shared" si="707"/>
        <v/>
      </c>
      <c r="GY156" s="66">
        <f t="shared" si="681"/>
        <v>0</v>
      </c>
      <c r="GZ156" s="717"/>
      <c r="HA156" s="716"/>
      <c r="HB156" s="701" t="str">
        <f t="shared" si="708"/>
        <v/>
      </c>
      <c r="HC156" s="66">
        <f t="shared" si="682"/>
        <v>0</v>
      </c>
      <c r="HD156" s="717"/>
      <c r="HE156" s="716"/>
      <c r="HF156" s="701" t="str">
        <f t="shared" si="709"/>
        <v/>
      </c>
      <c r="HG156" s="66">
        <f t="shared" si="683"/>
        <v>0</v>
      </c>
      <c r="HH156" s="717"/>
      <c r="HI156" s="716"/>
      <c r="HJ156" s="701" t="str">
        <f t="shared" si="710"/>
        <v/>
      </c>
      <c r="HK156" s="66">
        <f t="shared" si="684"/>
        <v>0</v>
      </c>
      <c r="HL156" s="717"/>
      <c r="HM156" s="716"/>
      <c r="HN156" s="701" t="str">
        <f t="shared" si="711"/>
        <v/>
      </c>
      <c r="HO156" s="66">
        <f t="shared" si="685"/>
        <v>0</v>
      </c>
      <c r="HP156" s="717"/>
      <c r="HQ156" s="716"/>
      <c r="HR156" s="701" t="str">
        <f t="shared" si="712"/>
        <v/>
      </c>
      <c r="HS156" s="66">
        <f t="shared" si="686"/>
        <v>0</v>
      </c>
      <c r="HT156" s="717"/>
      <c r="HU156" s="716"/>
      <c r="HV156" s="701" t="str">
        <f t="shared" si="713"/>
        <v/>
      </c>
      <c r="HW156" s="66">
        <f t="shared" si="687"/>
        <v>0</v>
      </c>
      <c r="HX156" s="717"/>
      <c r="HY156" s="716"/>
      <c r="HZ156" s="701" t="str">
        <f t="shared" si="714"/>
        <v/>
      </c>
      <c r="IA156" s="66">
        <f t="shared" si="688"/>
        <v>0</v>
      </c>
      <c r="IB156" s="717"/>
      <c r="IC156" s="716"/>
      <c r="ID156" s="701" t="str">
        <f t="shared" si="715"/>
        <v/>
      </c>
      <c r="IE156" s="66">
        <f t="shared" si="689"/>
        <v>0</v>
      </c>
      <c r="IF156" s="717"/>
      <c r="IG156" s="716"/>
      <c r="IH156" s="701" t="str">
        <f t="shared" si="716"/>
        <v/>
      </c>
      <c r="II156" s="66">
        <f t="shared" si="690"/>
        <v>0</v>
      </c>
      <c r="IJ156" s="717"/>
      <c r="IK156" s="716"/>
      <c r="IL156" s="701" t="str">
        <f t="shared" si="717"/>
        <v/>
      </c>
      <c r="IM156" s="66">
        <f t="shared" si="691"/>
        <v>0</v>
      </c>
      <c r="IN156" s="717"/>
      <c r="IO156" s="716"/>
      <c r="IP156" s="701" t="str">
        <f t="shared" si="718"/>
        <v/>
      </c>
      <c r="IQ156" s="66">
        <f t="shared" si="692"/>
        <v>0</v>
      </c>
      <c r="IR156" s="717"/>
      <c r="IS156" s="716"/>
      <c r="IT156" s="701" t="str">
        <f t="shared" si="719"/>
        <v/>
      </c>
      <c r="IU156" s="66">
        <f t="shared" si="693"/>
        <v>0</v>
      </c>
      <c r="IV156" s="717"/>
      <c r="IW156" s="716"/>
      <c r="IX156" s="701" t="str">
        <f t="shared" si="720"/>
        <v/>
      </c>
      <c r="IY156" s="66">
        <f t="shared" si="694"/>
        <v>0</v>
      </c>
    </row>
    <row r="157" spans="44:259" ht="13.3" thickTop="1" thickBot="1" x14ac:dyDescent="0.35">
      <c r="AR157" s="1"/>
      <c r="AS157" s="1"/>
      <c r="AX157" s="2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>
        <v>17</v>
      </c>
      <c r="FC157" s="735" t="str">
        <f t="shared" si="666"/>
        <v/>
      </c>
      <c r="FD157" s="734" t="str">
        <f t="shared" si="696"/>
        <v/>
      </c>
      <c r="FE157" s="18">
        <f t="shared" si="667"/>
        <v>0</v>
      </c>
      <c r="FF157" s="275" t="str">
        <f t="shared" si="668"/>
        <v/>
      </c>
      <c r="FG157" s="145" t="str">
        <f t="shared" si="669"/>
        <v/>
      </c>
      <c r="FH157" s="726">
        <f t="shared" si="670"/>
        <v>0</v>
      </c>
      <c r="FI157" s="718"/>
      <c r="FJ157" s="701" t="str">
        <f t="shared" si="697"/>
        <v/>
      </c>
      <c r="FK157" s="66">
        <f t="shared" si="671"/>
        <v>0</v>
      </c>
      <c r="FL157" s="717"/>
      <c r="FM157" s="716"/>
      <c r="FN157" s="701" t="str">
        <f t="shared" si="698"/>
        <v/>
      </c>
      <c r="FO157" s="66">
        <f t="shared" si="672"/>
        <v>0</v>
      </c>
      <c r="FP157" s="717"/>
      <c r="FQ157" s="716"/>
      <c r="FR157" s="701" t="str">
        <f t="shared" si="699"/>
        <v/>
      </c>
      <c r="FS157" s="66">
        <f t="shared" si="673"/>
        <v>0</v>
      </c>
      <c r="FT157" s="717"/>
      <c r="FU157" s="716"/>
      <c r="FV157" s="701" t="str">
        <f t="shared" si="700"/>
        <v/>
      </c>
      <c r="FW157" s="66">
        <f t="shared" si="674"/>
        <v>0</v>
      </c>
      <c r="FX157" s="717"/>
      <c r="FY157" s="716"/>
      <c r="FZ157" s="701" t="str">
        <f t="shared" si="701"/>
        <v/>
      </c>
      <c r="GA157" s="66">
        <f t="shared" si="675"/>
        <v>0</v>
      </c>
      <c r="GB157" s="717"/>
      <c r="GC157" s="716"/>
      <c r="GD157" s="701" t="str">
        <f t="shared" si="702"/>
        <v/>
      </c>
      <c r="GE157" s="66">
        <f t="shared" si="676"/>
        <v>0</v>
      </c>
      <c r="GF157" s="717"/>
      <c r="GG157" s="716"/>
      <c r="GH157" s="701" t="str">
        <f t="shared" si="703"/>
        <v/>
      </c>
      <c r="GI157" s="66">
        <f t="shared" si="677"/>
        <v>0</v>
      </c>
      <c r="GJ157" s="717"/>
      <c r="GK157" s="716"/>
      <c r="GL157" s="701" t="str">
        <f t="shared" si="704"/>
        <v/>
      </c>
      <c r="GM157" s="66">
        <f t="shared" si="678"/>
        <v>0</v>
      </c>
      <c r="GN157" s="717"/>
      <c r="GO157" s="716"/>
      <c r="GP157" s="701" t="str">
        <f t="shared" si="705"/>
        <v/>
      </c>
      <c r="GQ157" s="66">
        <f t="shared" si="679"/>
        <v>0</v>
      </c>
      <c r="GR157" s="717"/>
      <c r="GS157" s="716"/>
      <c r="GT157" s="701" t="str">
        <f t="shared" si="706"/>
        <v/>
      </c>
      <c r="GU157" s="66">
        <f t="shared" si="680"/>
        <v>0</v>
      </c>
      <c r="GV157" s="717"/>
      <c r="GW157" s="716"/>
      <c r="GX157" s="701" t="str">
        <f t="shared" si="707"/>
        <v/>
      </c>
      <c r="GY157" s="66">
        <f t="shared" si="681"/>
        <v>0</v>
      </c>
      <c r="GZ157" s="717"/>
      <c r="HA157" s="716"/>
      <c r="HB157" s="701" t="str">
        <f t="shared" si="708"/>
        <v/>
      </c>
      <c r="HC157" s="66">
        <f t="shared" si="682"/>
        <v>0</v>
      </c>
      <c r="HD157" s="717"/>
      <c r="HE157" s="716"/>
      <c r="HF157" s="701" t="str">
        <f t="shared" si="709"/>
        <v/>
      </c>
      <c r="HG157" s="66">
        <f t="shared" si="683"/>
        <v>0</v>
      </c>
      <c r="HH157" s="717"/>
      <c r="HI157" s="716"/>
      <c r="HJ157" s="701" t="str">
        <f t="shared" si="710"/>
        <v/>
      </c>
      <c r="HK157" s="66">
        <f t="shared" si="684"/>
        <v>0</v>
      </c>
      <c r="HL157" s="717"/>
      <c r="HM157" s="716"/>
      <c r="HN157" s="701" t="str">
        <f t="shared" si="711"/>
        <v/>
      </c>
      <c r="HO157" s="66">
        <f t="shared" si="685"/>
        <v>0</v>
      </c>
      <c r="HP157" s="717"/>
      <c r="HQ157" s="716"/>
      <c r="HR157" s="701" t="str">
        <f t="shared" si="712"/>
        <v/>
      </c>
      <c r="HS157" s="66">
        <f t="shared" si="686"/>
        <v>0</v>
      </c>
      <c r="HT157" s="717"/>
      <c r="HU157" s="716"/>
      <c r="HV157" s="701" t="str">
        <f t="shared" si="713"/>
        <v/>
      </c>
      <c r="HW157" s="66">
        <f t="shared" si="687"/>
        <v>0</v>
      </c>
      <c r="HX157" s="717"/>
      <c r="HY157" s="716"/>
      <c r="HZ157" s="701" t="str">
        <f t="shared" si="714"/>
        <v/>
      </c>
      <c r="IA157" s="66">
        <f t="shared" si="688"/>
        <v>0</v>
      </c>
      <c r="IB157" s="717"/>
      <c r="IC157" s="716"/>
      <c r="ID157" s="701" t="str">
        <f t="shared" si="715"/>
        <v/>
      </c>
      <c r="IE157" s="66">
        <f t="shared" si="689"/>
        <v>0</v>
      </c>
      <c r="IF157" s="717"/>
      <c r="IG157" s="716"/>
      <c r="IH157" s="701" t="str">
        <f t="shared" si="716"/>
        <v/>
      </c>
      <c r="II157" s="66">
        <f t="shared" si="690"/>
        <v>0</v>
      </c>
      <c r="IJ157" s="717"/>
      <c r="IK157" s="716"/>
      <c r="IL157" s="701" t="str">
        <f t="shared" si="717"/>
        <v/>
      </c>
      <c r="IM157" s="66">
        <f t="shared" si="691"/>
        <v>0</v>
      </c>
      <c r="IN157" s="717"/>
      <c r="IO157" s="716"/>
      <c r="IP157" s="701" t="str">
        <f t="shared" si="718"/>
        <v/>
      </c>
      <c r="IQ157" s="66">
        <f t="shared" si="692"/>
        <v>0</v>
      </c>
      <c r="IR157" s="717"/>
      <c r="IS157" s="716"/>
      <c r="IT157" s="701" t="str">
        <f t="shared" si="719"/>
        <v/>
      </c>
      <c r="IU157" s="66">
        <f t="shared" si="693"/>
        <v>0</v>
      </c>
      <c r="IV157" s="717"/>
      <c r="IW157" s="716"/>
      <c r="IX157" s="701" t="str">
        <f t="shared" si="720"/>
        <v/>
      </c>
      <c r="IY157" s="66">
        <f t="shared" si="694"/>
        <v>0</v>
      </c>
    </row>
    <row r="158" spans="44:259" ht="13.3" thickTop="1" thickBot="1" x14ac:dyDescent="0.35">
      <c r="AR158" s="1"/>
      <c r="AS158" s="1"/>
      <c r="AX158" s="2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>
        <v>18</v>
      </c>
      <c r="FC158" s="735" t="str">
        <f t="shared" si="666"/>
        <v/>
      </c>
      <c r="FD158" s="734" t="str">
        <f t="shared" si="696"/>
        <v/>
      </c>
      <c r="FE158" s="18">
        <f t="shared" si="667"/>
        <v>0</v>
      </c>
      <c r="FF158" s="275" t="str">
        <f t="shared" si="668"/>
        <v/>
      </c>
      <c r="FG158" s="145" t="str">
        <f t="shared" si="669"/>
        <v/>
      </c>
      <c r="FH158" s="726">
        <f t="shared" si="670"/>
        <v>0</v>
      </c>
      <c r="FI158" s="718"/>
      <c r="FJ158" s="701" t="str">
        <f t="shared" si="697"/>
        <v/>
      </c>
      <c r="FK158" s="66">
        <f t="shared" si="671"/>
        <v>0</v>
      </c>
      <c r="FL158" s="717"/>
      <c r="FM158" s="716"/>
      <c r="FN158" s="701" t="str">
        <f t="shared" si="698"/>
        <v/>
      </c>
      <c r="FO158" s="66">
        <f t="shared" si="672"/>
        <v>0</v>
      </c>
      <c r="FP158" s="717"/>
      <c r="FQ158" s="716"/>
      <c r="FR158" s="701" t="str">
        <f t="shared" si="699"/>
        <v/>
      </c>
      <c r="FS158" s="66">
        <f t="shared" si="673"/>
        <v>0</v>
      </c>
      <c r="FT158" s="717"/>
      <c r="FU158" s="716"/>
      <c r="FV158" s="701" t="str">
        <f t="shared" si="700"/>
        <v/>
      </c>
      <c r="FW158" s="66">
        <f t="shared" si="674"/>
        <v>0</v>
      </c>
      <c r="FX158" s="717"/>
      <c r="FY158" s="716"/>
      <c r="FZ158" s="701" t="str">
        <f t="shared" si="701"/>
        <v/>
      </c>
      <c r="GA158" s="66">
        <f t="shared" si="675"/>
        <v>0</v>
      </c>
      <c r="GB158" s="717"/>
      <c r="GC158" s="716"/>
      <c r="GD158" s="701" t="str">
        <f t="shared" si="702"/>
        <v/>
      </c>
      <c r="GE158" s="66">
        <f t="shared" si="676"/>
        <v>0</v>
      </c>
      <c r="GF158" s="717"/>
      <c r="GG158" s="716"/>
      <c r="GH158" s="701" t="str">
        <f t="shared" si="703"/>
        <v/>
      </c>
      <c r="GI158" s="66">
        <f t="shared" si="677"/>
        <v>0</v>
      </c>
      <c r="GJ158" s="717"/>
      <c r="GK158" s="716"/>
      <c r="GL158" s="701" t="str">
        <f t="shared" si="704"/>
        <v/>
      </c>
      <c r="GM158" s="66">
        <f t="shared" si="678"/>
        <v>0</v>
      </c>
      <c r="GN158" s="717"/>
      <c r="GO158" s="716"/>
      <c r="GP158" s="701" t="str">
        <f t="shared" si="705"/>
        <v/>
      </c>
      <c r="GQ158" s="66">
        <f t="shared" si="679"/>
        <v>0</v>
      </c>
      <c r="GR158" s="717"/>
      <c r="GS158" s="716"/>
      <c r="GT158" s="701" t="str">
        <f t="shared" si="706"/>
        <v/>
      </c>
      <c r="GU158" s="66">
        <f t="shared" si="680"/>
        <v>0</v>
      </c>
      <c r="GV158" s="717"/>
      <c r="GW158" s="716"/>
      <c r="GX158" s="701" t="str">
        <f t="shared" si="707"/>
        <v/>
      </c>
      <c r="GY158" s="66">
        <f t="shared" si="681"/>
        <v>0</v>
      </c>
      <c r="GZ158" s="717"/>
      <c r="HA158" s="716"/>
      <c r="HB158" s="701" t="str">
        <f t="shared" si="708"/>
        <v/>
      </c>
      <c r="HC158" s="66">
        <f t="shared" si="682"/>
        <v>0</v>
      </c>
      <c r="HD158" s="717"/>
      <c r="HE158" s="716"/>
      <c r="HF158" s="701" t="str">
        <f t="shared" si="709"/>
        <v/>
      </c>
      <c r="HG158" s="66">
        <f t="shared" si="683"/>
        <v>0</v>
      </c>
      <c r="HH158" s="717"/>
      <c r="HI158" s="716"/>
      <c r="HJ158" s="701" t="str">
        <f t="shared" si="710"/>
        <v/>
      </c>
      <c r="HK158" s="66">
        <f t="shared" si="684"/>
        <v>0</v>
      </c>
      <c r="HL158" s="717"/>
      <c r="HM158" s="716"/>
      <c r="HN158" s="701" t="str">
        <f t="shared" si="711"/>
        <v/>
      </c>
      <c r="HO158" s="66">
        <f t="shared" si="685"/>
        <v>0</v>
      </c>
      <c r="HP158" s="717"/>
      <c r="HQ158" s="716"/>
      <c r="HR158" s="701" t="str">
        <f t="shared" si="712"/>
        <v/>
      </c>
      <c r="HS158" s="66">
        <f t="shared" si="686"/>
        <v>0</v>
      </c>
      <c r="HT158" s="717"/>
      <c r="HU158" s="716"/>
      <c r="HV158" s="701" t="str">
        <f t="shared" si="713"/>
        <v/>
      </c>
      <c r="HW158" s="66">
        <f t="shared" si="687"/>
        <v>0</v>
      </c>
      <c r="HX158" s="717"/>
      <c r="HY158" s="716"/>
      <c r="HZ158" s="701" t="str">
        <f t="shared" si="714"/>
        <v/>
      </c>
      <c r="IA158" s="66">
        <f t="shared" si="688"/>
        <v>0</v>
      </c>
      <c r="IB158" s="717"/>
      <c r="IC158" s="716"/>
      <c r="ID158" s="701" t="str">
        <f t="shared" si="715"/>
        <v/>
      </c>
      <c r="IE158" s="66">
        <f t="shared" si="689"/>
        <v>0</v>
      </c>
      <c r="IF158" s="717"/>
      <c r="IG158" s="716"/>
      <c r="IH158" s="701" t="str">
        <f t="shared" si="716"/>
        <v/>
      </c>
      <c r="II158" s="66">
        <f t="shared" si="690"/>
        <v>0</v>
      </c>
      <c r="IJ158" s="717"/>
      <c r="IK158" s="716"/>
      <c r="IL158" s="701" t="str">
        <f t="shared" si="717"/>
        <v/>
      </c>
      <c r="IM158" s="66">
        <f t="shared" si="691"/>
        <v>0</v>
      </c>
      <c r="IN158" s="717"/>
      <c r="IO158" s="716"/>
      <c r="IP158" s="701" t="str">
        <f t="shared" si="718"/>
        <v/>
      </c>
      <c r="IQ158" s="66">
        <f t="shared" si="692"/>
        <v>0</v>
      </c>
      <c r="IR158" s="717"/>
      <c r="IS158" s="716"/>
      <c r="IT158" s="701" t="str">
        <f t="shared" si="719"/>
        <v/>
      </c>
      <c r="IU158" s="66">
        <f t="shared" si="693"/>
        <v>0</v>
      </c>
      <c r="IV158" s="717"/>
      <c r="IW158" s="716"/>
      <c r="IX158" s="701" t="str">
        <f t="shared" si="720"/>
        <v/>
      </c>
      <c r="IY158" s="66">
        <f t="shared" si="694"/>
        <v>0</v>
      </c>
    </row>
    <row r="159" spans="44:259" ht="13.3" thickTop="1" thickBot="1" x14ac:dyDescent="0.35">
      <c r="AR159" s="1"/>
      <c r="AS159" s="1"/>
      <c r="AX159" s="2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>
        <v>19</v>
      </c>
      <c r="FC159" s="735" t="str">
        <f t="shared" si="666"/>
        <v/>
      </c>
      <c r="FD159" s="734" t="str">
        <f t="shared" si="696"/>
        <v/>
      </c>
      <c r="FE159" s="18">
        <f t="shared" si="667"/>
        <v>0</v>
      </c>
      <c r="FF159" s="275" t="str">
        <f t="shared" si="668"/>
        <v/>
      </c>
      <c r="FG159" s="145" t="str">
        <f t="shared" si="669"/>
        <v/>
      </c>
      <c r="FH159" s="726">
        <f t="shared" si="670"/>
        <v>0</v>
      </c>
      <c r="FI159" s="718"/>
      <c r="FJ159" s="701" t="str">
        <f t="shared" si="697"/>
        <v/>
      </c>
      <c r="FK159" s="66">
        <f t="shared" si="671"/>
        <v>0</v>
      </c>
      <c r="FL159" s="717"/>
      <c r="FM159" s="716"/>
      <c r="FN159" s="701" t="str">
        <f t="shared" si="698"/>
        <v/>
      </c>
      <c r="FO159" s="66">
        <f t="shared" si="672"/>
        <v>0</v>
      </c>
      <c r="FP159" s="717"/>
      <c r="FQ159" s="716"/>
      <c r="FR159" s="701" t="str">
        <f t="shared" si="699"/>
        <v/>
      </c>
      <c r="FS159" s="66">
        <f t="shared" si="673"/>
        <v>0</v>
      </c>
      <c r="FT159" s="717"/>
      <c r="FU159" s="716"/>
      <c r="FV159" s="701" t="str">
        <f t="shared" si="700"/>
        <v/>
      </c>
      <c r="FW159" s="66">
        <f t="shared" si="674"/>
        <v>0</v>
      </c>
      <c r="FX159" s="717"/>
      <c r="FY159" s="716"/>
      <c r="FZ159" s="701" t="str">
        <f t="shared" si="701"/>
        <v/>
      </c>
      <c r="GA159" s="66">
        <f t="shared" si="675"/>
        <v>0</v>
      </c>
      <c r="GB159" s="717"/>
      <c r="GC159" s="716"/>
      <c r="GD159" s="701" t="str">
        <f t="shared" si="702"/>
        <v/>
      </c>
      <c r="GE159" s="66">
        <f t="shared" si="676"/>
        <v>0</v>
      </c>
      <c r="GF159" s="717"/>
      <c r="GG159" s="716"/>
      <c r="GH159" s="701" t="str">
        <f t="shared" si="703"/>
        <v/>
      </c>
      <c r="GI159" s="66">
        <f t="shared" si="677"/>
        <v>0</v>
      </c>
      <c r="GJ159" s="717"/>
      <c r="GK159" s="716"/>
      <c r="GL159" s="701" t="str">
        <f t="shared" si="704"/>
        <v/>
      </c>
      <c r="GM159" s="66">
        <f t="shared" si="678"/>
        <v>0</v>
      </c>
      <c r="GN159" s="717"/>
      <c r="GO159" s="716"/>
      <c r="GP159" s="701" t="str">
        <f t="shared" si="705"/>
        <v/>
      </c>
      <c r="GQ159" s="66">
        <f t="shared" si="679"/>
        <v>0</v>
      </c>
      <c r="GR159" s="717"/>
      <c r="GS159" s="716"/>
      <c r="GT159" s="701" t="str">
        <f t="shared" si="706"/>
        <v/>
      </c>
      <c r="GU159" s="66">
        <f t="shared" si="680"/>
        <v>0</v>
      </c>
      <c r="GV159" s="717"/>
      <c r="GW159" s="716"/>
      <c r="GX159" s="701" t="str">
        <f t="shared" si="707"/>
        <v/>
      </c>
      <c r="GY159" s="66">
        <f t="shared" si="681"/>
        <v>0</v>
      </c>
      <c r="GZ159" s="717"/>
      <c r="HA159" s="716"/>
      <c r="HB159" s="701" t="str">
        <f t="shared" si="708"/>
        <v/>
      </c>
      <c r="HC159" s="66">
        <f t="shared" si="682"/>
        <v>0</v>
      </c>
      <c r="HD159" s="717"/>
      <c r="HE159" s="716"/>
      <c r="HF159" s="701" t="str">
        <f t="shared" si="709"/>
        <v/>
      </c>
      <c r="HG159" s="66">
        <f t="shared" si="683"/>
        <v>0</v>
      </c>
      <c r="HH159" s="717"/>
      <c r="HI159" s="716"/>
      <c r="HJ159" s="701" t="str">
        <f t="shared" si="710"/>
        <v/>
      </c>
      <c r="HK159" s="66">
        <f t="shared" si="684"/>
        <v>0</v>
      </c>
      <c r="HL159" s="717"/>
      <c r="HM159" s="716"/>
      <c r="HN159" s="701" t="str">
        <f t="shared" si="711"/>
        <v/>
      </c>
      <c r="HO159" s="66">
        <f t="shared" si="685"/>
        <v>0</v>
      </c>
      <c r="HP159" s="717"/>
      <c r="HQ159" s="716"/>
      <c r="HR159" s="701" t="str">
        <f t="shared" si="712"/>
        <v/>
      </c>
      <c r="HS159" s="66">
        <f t="shared" si="686"/>
        <v>0</v>
      </c>
      <c r="HT159" s="717"/>
      <c r="HU159" s="716"/>
      <c r="HV159" s="701" t="str">
        <f t="shared" si="713"/>
        <v/>
      </c>
      <c r="HW159" s="66">
        <f t="shared" si="687"/>
        <v>0</v>
      </c>
      <c r="HX159" s="717"/>
      <c r="HY159" s="716"/>
      <c r="HZ159" s="701" t="str">
        <f t="shared" si="714"/>
        <v/>
      </c>
      <c r="IA159" s="66">
        <f t="shared" si="688"/>
        <v>0</v>
      </c>
      <c r="IB159" s="717"/>
      <c r="IC159" s="716"/>
      <c r="ID159" s="701" t="str">
        <f t="shared" si="715"/>
        <v/>
      </c>
      <c r="IE159" s="66">
        <f t="shared" si="689"/>
        <v>0</v>
      </c>
      <c r="IF159" s="717"/>
      <c r="IG159" s="716"/>
      <c r="IH159" s="701" t="str">
        <f t="shared" si="716"/>
        <v/>
      </c>
      <c r="II159" s="66">
        <f t="shared" si="690"/>
        <v>0</v>
      </c>
      <c r="IJ159" s="717"/>
      <c r="IK159" s="716"/>
      <c r="IL159" s="701" t="str">
        <f t="shared" si="717"/>
        <v/>
      </c>
      <c r="IM159" s="66">
        <f t="shared" si="691"/>
        <v>0</v>
      </c>
      <c r="IN159" s="717"/>
      <c r="IO159" s="716"/>
      <c r="IP159" s="701" t="str">
        <f t="shared" si="718"/>
        <v/>
      </c>
      <c r="IQ159" s="66">
        <f t="shared" si="692"/>
        <v>0</v>
      </c>
      <c r="IR159" s="717"/>
      <c r="IS159" s="716"/>
      <c r="IT159" s="701" t="str">
        <f t="shared" si="719"/>
        <v/>
      </c>
      <c r="IU159" s="66">
        <f t="shared" si="693"/>
        <v>0</v>
      </c>
      <c r="IV159" s="717"/>
      <c r="IW159" s="716"/>
      <c r="IX159" s="701" t="str">
        <f t="shared" si="720"/>
        <v/>
      </c>
      <c r="IY159" s="66">
        <f t="shared" si="694"/>
        <v>0</v>
      </c>
    </row>
    <row r="160" spans="44:259" ht="13.3" thickTop="1" thickBot="1" x14ac:dyDescent="0.35">
      <c r="AR160" s="1"/>
      <c r="AS160" s="1"/>
      <c r="AX160" s="2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>
        <v>20</v>
      </c>
      <c r="FC160" s="735" t="str">
        <f t="shared" si="666"/>
        <v/>
      </c>
      <c r="FD160" s="734" t="str">
        <f t="shared" si="696"/>
        <v/>
      </c>
      <c r="FE160" s="18">
        <f t="shared" si="667"/>
        <v>0</v>
      </c>
      <c r="FF160" s="275" t="str">
        <f t="shared" si="668"/>
        <v/>
      </c>
      <c r="FG160" s="145" t="str">
        <f t="shared" si="669"/>
        <v/>
      </c>
      <c r="FH160" s="726">
        <f t="shared" si="670"/>
        <v>0</v>
      </c>
      <c r="FI160" s="718"/>
      <c r="FJ160" s="701" t="str">
        <f t="shared" si="697"/>
        <v/>
      </c>
      <c r="FK160" s="66">
        <f t="shared" si="671"/>
        <v>0</v>
      </c>
      <c r="FL160" s="717"/>
      <c r="FM160" s="716"/>
      <c r="FN160" s="701" t="str">
        <f t="shared" si="698"/>
        <v/>
      </c>
      <c r="FO160" s="66">
        <f t="shared" si="672"/>
        <v>0</v>
      </c>
      <c r="FP160" s="717"/>
      <c r="FQ160" s="716"/>
      <c r="FR160" s="701" t="str">
        <f t="shared" si="699"/>
        <v/>
      </c>
      <c r="FS160" s="66">
        <f t="shared" si="673"/>
        <v>0</v>
      </c>
      <c r="FT160" s="717"/>
      <c r="FU160" s="716"/>
      <c r="FV160" s="701" t="str">
        <f t="shared" si="700"/>
        <v/>
      </c>
      <c r="FW160" s="66">
        <f t="shared" si="674"/>
        <v>0</v>
      </c>
      <c r="FX160" s="717"/>
      <c r="FY160" s="716"/>
      <c r="FZ160" s="701" t="str">
        <f t="shared" si="701"/>
        <v/>
      </c>
      <c r="GA160" s="66">
        <f t="shared" si="675"/>
        <v>0</v>
      </c>
      <c r="GB160" s="717"/>
      <c r="GC160" s="716"/>
      <c r="GD160" s="701" t="str">
        <f t="shared" si="702"/>
        <v/>
      </c>
      <c r="GE160" s="66">
        <f t="shared" si="676"/>
        <v>0</v>
      </c>
      <c r="GF160" s="717"/>
      <c r="GG160" s="716"/>
      <c r="GH160" s="701" t="str">
        <f t="shared" si="703"/>
        <v/>
      </c>
      <c r="GI160" s="66">
        <f t="shared" si="677"/>
        <v>0</v>
      </c>
      <c r="GJ160" s="717"/>
      <c r="GK160" s="716"/>
      <c r="GL160" s="701" t="str">
        <f t="shared" si="704"/>
        <v/>
      </c>
      <c r="GM160" s="66">
        <f t="shared" si="678"/>
        <v>0</v>
      </c>
      <c r="GN160" s="717"/>
      <c r="GO160" s="716"/>
      <c r="GP160" s="701" t="str">
        <f t="shared" si="705"/>
        <v/>
      </c>
      <c r="GQ160" s="66">
        <f t="shared" si="679"/>
        <v>0</v>
      </c>
      <c r="GR160" s="717"/>
      <c r="GS160" s="716"/>
      <c r="GT160" s="701" t="str">
        <f t="shared" si="706"/>
        <v/>
      </c>
      <c r="GU160" s="66">
        <f t="shared" si="680"/>
        <v>0</v>
      </c>
      <c r="GV160" s="717"/>
      <c r="GW160" s="716"/>
      <c r="GX160" s="701" t="str">
        <f t="shared" si="707"/>
        <v/>
      </c>
      <c r="GY160" s="66">
        <f t="shared" si="681"/>
        <v>0</v>
      </c>
      <c r="GZ160" s="717"/>
      <c r="HA160" s="716"/>
      <c r="HB160" s="701" t="str">
        <f t="shared" si="708"/>
        <v/>
      </c>
      <c r="HC160" s="66">
        <f t="shared" si="682"/>
        <v>0</v>
      </c>
      <c r="HD160" s="717"/>
      <c r="HE160" s="716"/>
      <c r="HF160" s="701" t="str">
        <f t="shared" si="709"/>
        <v/>
      </c>
      <c r="HG160" s="66">
        <f t="shared" si="683"/>
        <v>0</v>
      </c>
      <c r="HH160" s="717"/>
      <c r="HI160" s="716"/>
      <c r="HJ160" s="701" t="str">
        <f t="shared" si="710"/>
        <v/>
      </c>
      <c r="HK160" s="66">
        <f t="shared" si="684"/>
        <v>0</v>
      </c>
      <c r="HL160" s="717"/>
      <c r="HM160" s="716"/>
      <c r="HN160" s="701" t="str">
        <f t="shared" si="711"/>
        <v/>
      </c>
      <c r="HO160" s="66">
        <f t="shared" si="685"/>
        <v>0</v>
      </c>
      <c r="HP160" s="717"/>
      <c r="HQ160" s="716"/>
      <c r="HR160" s="701" t="str">
        <f t="shared" si="712"/>
        <v/>
      </c>
      <c r="HS160" s="66">
        <f t="shared" si="686"/>
        <v>0</v>
      </c>
      <c r="HT160" s="717"/>
      <c r="HU160" s="716"/>
      <c r="HV160" s="701" t="str">
        <f t="shared" si="713"/>
        <v/>
      </c>
      <c r="HW160" s="66">
        <f t="shared" si="687"/>
        <v>0</v>
      </c>
      <c r="HX160" s="717"/>
      <c r="HY160" s="716"/>
      <c r="HZ160" s="701" t="str">
        <f t="shared" si="714"/>
        <v/>
      </c>
      <c r="IA160" s="66">
        <f t="shared" si="688"/>
        <v>0</v>
      </c>
      <c r="IB160" s="717"/>
      <c r="IC160" s="716"/>
      <c r="ID160" s="701" t="str">
        <f t="shared" si="715"/>
        <v/>
      </c>
      <c r="IE160" s="66">
        <f t="shared" si="689"/>
        <v>0</v>
      </c>
      <c r="IF160" s="717"/>
      <c r="IG160" s="716"/>
      <c r="IH160" s="701" t="str">
        <f t="shared" si="716"/>
        <v/>
      </c>
      <c r="II160" s="66">
        <f t="shared" si="690"/>
        <v>0</v>
      </c>
      <c r="IJ160" s="717"/>
      <c r="IK160" s="716"/>
      <c r="IL160" s="701" t="str">
        <f t="shared" si="717"/>
        <v/>
      </c>
      <c r="IM160" s="66">
        <f t="shared" si="691"/>
        <v>0</v>
      </c>
      <c r="IN160" s="717"/>
      <c r="IO160" s="716"/>
      <c r="IP160" s="701" t="str">
        <f t="shared" si="718"/>
        <v/>
      </c>
      <c r="IQ160" s="66">
        <f t="shared" si="692"/>
        <v>0</v>
      </c>
      <c r="IR160" s="717"/>
      <c r="IS160" s="716"/>
      <c r="IT160" s="701" t="str">
        <f t="shared" si="719"/>
        <v/>
      </c>
      <c r="IU160" s="66">
        <f t="shared" si="693"/>
        <v>0</v>
      </c>
      <c r="IV160" s="717"/>
      <c r="IW160" s="716"/>
      <c r="IX160" s="701" t="str">
        <f t="shared" si="720"/>
        <v/>
      </c>
      <c r="IY160" s="66">
        <f t="shared" si="694"/>
        <v>0</v>
      </c>
    </row>
    <row r="161" spans="44:259" ht="13.3" thickTop="1" thickBot="1" x14ac:dyDescent="0.35">
      <c r="AR161" s="1"/>
      <c r="AS161" s="1"/>
      <c r="AX161" s="2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>
        <v>21</v>
      </c>
      <c r="FC161" s="735" t="str">
        <f t="shared" si="666"/>
        <v/>
      </c>
      <c r="FD161" s="734" t="str">
        <f t="shared" si="696"/>
        <v/>
      </c>
      <c r="FE161" s="18">
        <f t="shared" si="667"/>
        <v>0</v>
      </c>
      <c r="FF161" s="275" t="str">
        <f t="shared" si="668"/>
        <v/>
      </c>
      <c r="FG161" s="145" t="str">
        <f t="shared" si="669"/>
        <v/>
      </c>
      <c r="FH161" s="726">
        <f t="shared" si="670"/>
        <v>0</v>
      </c>
      <c r="FJ161" s="701" t="str">
        <f t="shared" si="697"/>
        <v/>
      </c>
      <c r="FK161" s="66">
        <f t="shared" si="671"/>
        <v>0</v>
      </c>
      <c r="FN161" s="701" t="str">
        <f t="shared" si="698"/>
        <v/>
      </c>
      <c r="FO161" s="66">
        <f t="shared" si="672"/>
        <v>0</v>
      </c>
      <c r="FR161" s="701" t="str">
        <f t="shared" si="699"/>
        <v/>
      </c>
      <c r="FS161" s="66">
        <f t="shared" si="673"/>
        <v>0</v>
      </c>
      <c r="FV161" s="701" t="str">
        <f t="shared" si="700"/>
        <v/>
      </c>
      <c r="FW161" s="66">
        <f t="shared" si="674"/>
        <v>0</v>
      </c>
      <c r="FZ161" s="701" t="str">
        <f t="shared" si="701"/>
        <v/>
      </c>
      <c r="GA161" s="66">
        <f t="shared" si="675"/>
        <v>0</v>
      </c>
      <c r="GD161" s="701" t="str">
        <f t="shared" si="702"/>
        <v/>
      </c>
      <c r="GE161" s="66">
        <f t="shared" si="676"/>
        <v>0</v>
      </c>
      <c r="GH161" s="701" t="str">
        <f t="shared" si="703"/>
        <v/>
      </c>
      <c r="GI161" s="66">
        <f t="shared" si="677"/>
        <v>0</v>
      </c>
      <c r="GL161" s="701" t="str">
        <f t="shared" si="704"/>
        <v/>
      </c>
      <c r="GM161" s="66">
        <f t="shared" si="678"/>
        <v>0</v>
      </c>
      <c r="GP161" s="701" t="str">
        <f t="shared" si="705"/>
        <v/>
      </c>
      <c r="GQ161" s="66">
        <f t="shared" si="679"/>
        <v>0</v>
      </c>
      <c r="GT161" s="701" t="str">
        <f t="shared" si="706"/>
        <v/>
      </c>
      <c r="GU161" s="66">
        <f t="shared" si="680"/>
        <v>0</v>
      </c>
      <c r="GX161" s="701" t="str">
        <f t="shared" si="707"/>
        <v/>
      </c>
      <c r="GY161" s="66">
        <f t="shared" si="681"/>
        <v>0</v>
      </c>
      <c r="HB161" s="701" t="str">
        <f t="shared" si="708"/>
        <v/>
      </c>
      <c r="HC161" s="66">
        <f t="shared" si="682"/>
        <v>0</v>
      </c>
      <c r="HF161" s="701" t="str">
        <f t="shared" si="709"/>
        <v/>
      </c>
      <c r="HG161" s="66">
        <f t="shared" si="683"/>
        <v>0</v>
      </c>
      <c r="HJ161" s="701" t="str">
        <f t="shared" si="710"/>
        <v/>
      </c>
      <c r="HK161" s="66">
        <f t="shared" si="684"/>
        <v>0</v>
      </c>
      <c r="HN161" s="701" t="str">
        <f t="shared" si="711"/>
        <v/>
      </c>
      <c r="HO161" s="66">
        <f t="shared" si="685"/>
        <v>0</v>
      </c>
      <c r="HR161" s="701" t="str">
        <f t="shared" si="712"/>
        <v/>
      </c>
      <c r="HS161" s="66">
        <f t="shared" si="686"/>
        <v>0</v>
      </c>
      <c r="HV161" s="701" t="str">
        <f t="shared" si="713"/>
        <v/>
      </c>
      <c r="HW161" s="66">
        <f t="shared" si="687"/>
        <v>0</v>
      </c>
      <c r="HZ161" s="701" t="str">
        <f t="shared" si="714"/>
        <v/>
      </c>
      <c r="IA161" s="66">
        <f t="shared" si="688"/>
        <v>0</v>
      </c>
      <c r="ID161" s="701" t="str">
        <f t="shared" si="715"/>
        <v/>
      </c>
      <c r="IE161" s="66">
        <f t="shared" si="689"/>
        <v>0</v>
      </c>
      <c r="IH161" s="701" t="str">
        <f t="shared" si="716"/>
        <v/>
      </c>
      <c r="II161" s="66">
        <f t="shared" si="690"/>
        <v>0</v>
      </c>
      <c r="IL161" s="701" t="str">
        <f t="shared" si="717"/>
        <v/>
      </c>
      <c r="IM161" s="66">
        <f t="shared" si="691"/>
        <v>0</v>
      </c>
      <c r="IP161" s="701" t="str">
        <f t="shared" si="718"/>
        <v/>
      </c>
      <c r="IQ161" s="66">
        <f t="shared" si="692"/>
        <v>0</v>
      </c>
      <c r="IT161" s="701" t="str">
        <f t="shared" si="719"/>
        <v/>
      </c>
      <c r="IU161" s="66">
        <f t="shared" si="693"/>
        <v>0</v>
      </c>
      <c r="IX161" s="701" t="str">
        <f t="shared" si="720"/>
        <v/>
      </c>
      <c r="IY161" s="66">
        <f t="shared" si="694"/>
        <v>0</v>
      </c>
    </row>
    <row r="162" spans="44:259" ht="13.3" thickTop="1" thickBot="1" x14ac:dyDescent="0.35">
      <c r="AR162" s="1"/>
      <c r="AS162" s="1"/>
      <c r="AX162" s="2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>
        <v>22</v>
      </c>
      <c r="FC162" s="735" t="str">
        <f t="shared" si="666"/>
        <v/>
      </c>
      <c r="FD162" s="734" t="str">
        <f t="shared" si="696"/>
        <v/>
      </c>
      <c r="FE162" s="18">
        <f t="shared" si="667"/>
        <v>0</v>
      </c>
      <c r="FF162" s="275" t="str">
        <f t="shared" si="668"/>
        <v/>
      </c>
      <c r="FG162" s="145" t="str">
        <f t="shared" si="669"/>
        <v/>
      </c>
      <c r="FH162" s="726">
        <f t="shared" si="670"/>
        <v>0</v>
      </c>
      <c r="FJ162" s="701" t="str">
        <f t="shared" si="697"/>
        <v/>
      </c>
      <c r="FK162" s="66">
        <f t="shared" si="671"/>
        <v>0</v>
      </c>
      <c r="FN162" s="701" t="str">
        <f t="shared" si="698"/>
        <v/>
      </c>
      <c r="FO162" s="66">
        <f t="shared" si="672"/>
        <v>0</v>
      </c>
      <c r="FR162" s="701" t="str">
        <f t="shared" si="699"/>
        <v/>
      </c>
      <c r="FS162" s="66">
        <f t="shared" si="673"/>
        <v>0</v>
      </c>
      <c r="FV162" s="701" t="str">
        <f t="shared" si="700"/>
        <v/>
      </c>
      <c r="FW162" s="66">
        <f t="shared" si="674"/>
        <v>0</v>
      </c>
      <c r="FZ162" s="701" t="str">
        <f t="shared" si="701"/>
        <v/>
      </c>
      <c r="GA162" s="66">
        <f t="shared" si="675"/>
        <v>0</v>
      </c>
      <c r="GD162" s="701" t="str">
        <f t="shared" si="702"/>
        <v/>
      </c>
      <c r="GE162" s="66">
        <f t="shared" si="676"/>
        <v>0</v>
      </c>
      <c r="GH162" s="701" t="str">
        <f t="shared" si="703"/>
        <v/>
      </c>
      <c r="GI162" s="66">
        <f t="shared" si="677"/>
        <v>0</v>
      </c>
      <c r="GL162" s="701" t="str">
        <f t="shared" si="704"/>
        <v/>
      </c>
      <c r="GM162" s="66">
        <f t="shared" si="678"/>
        <v>0</v>
      </c>
      <c r="GP162" s="701" t="str">
        <f t="shared" si="705"/>
        <v/>
      </c>
      <c r="GQ162" s="66">
        <f t="shared" si="679"/>
        <v>0</v>
      </c>
      <c r="GT162" s="701" t="str">
        <f t="shared" si="706"/>
        <v/>
      </c>
      <c r="GU162" s="66">
        <f t="shared" si="680"/>
        <v>0</v>
      </c>
      <c r="GX162" s="701" t="str">
        <f t="shared" si="707"/>
        <v/>
      </c>
      <c r="GY162" s="66">
        <f t="shared" si="681"/>
        <v>0</v>
      </c>
      <c r="HB162" s="701" t="str">
        <f t="shared" si="708"/>
        <v/>
      </c>
      <c r="HC162" s="66">
        <f t="shared" si="682"/>
        <v>0</v>
      </c>
      <c r="HF162" s="701" t="str">
        <f t="shared" si="709"/>
        <v/>
      </c>
      <c r="HG162" s="66">
        <f t="shared" si="683"/>
        <v>0</v>
      </c>
      <c r="HJ162" s="701" t="str">
        <f t="shared" si="710"/>
        <v/>
      </c>
      <c r="HK162" s="66">
        <f t="shared" si="684"/>
        <v>0</v>
      </c>
      <c r="HN162" s="701" t="str">
        <f t="shared" si="711"/>
        <v/>
      </c>
      <c r="HO162" s="66">
        <f t="shared" si="685"/>
        <v>0</v>
      </c>
      <c r="HR162" s="701" t="str">
        <f t="shared" si="712"/>
        <v/>
      </c>
      <c r="HS162" s="66">
        <f t="shared" si="686"/>
        <v>0</v>
      </c>
      <c r="HV162" s="701" t="str">
        <f t="shared" si="713"/>
        <v/>
      </c>
      <c r="HW162" s="66">
        <f t="shared" si="687"/>
        <v>0</v>
      </c>
      <c r="HZ162" s="701" t="str">
        <f t="shared" si="714"/>
        <v/>
      </c>
      <c r="IA162" s="66">
        <f t="shared" si="688"/>
        <v>0</v>
      </c>
      <c r="ID162" s="701" t="str">
        <f t="shared" si="715"/>
        <v/>
      </c>
      <c r="IE162" s="66">
        <f t="shared" si="689"/>
        <v>0</v>
      </c>
      <c r="IH162" s="701" t="str">
        <f t="shared" si="716"/>
        <v/>
      </c>
      <c r="II162" s="66">
        <f t="shared" si="690"/>
        <v>0</v>
      </c>
      <c r="IL162" s="701" t="str">
        <f t="shared" si="717"/>
        <v/>
      </c>
      <c r="IM162" s="66">
        <f t="shared" si="691"/>
        <v>0</v>
      </c>
      <c r="IP162" s="701" t="str">
        <f t="shared" si="718"/>
        <v/>
      </c>
      <c r="IQ162" s="66">
        <f t="shared" si="692"/>
        <v>0</v>
      </c>
      <c r="IT162" s="701" t="str">
        <f t="shared" si="719"/>
        <v/>
      </c>
      <c r="IU162" s="66">
        <f t="shared" si="693"/>
        <v>0</v>
      </c>
      <c r="IX162" s="701" t="str">
        <f t="shared" si="720"/>
        <v/>
      </c>
      <c r="IY162" s="66">
        <f t="shared" si="694"/>
        <v>0</v>
      </c>
    </row>
    <row r="163" spans="44:259" ht="13.3" thickTop="1" thickBot="1" x14ac:dyDescent="0.35">
      <c r="AR163" s="1"/>
      <c r="AS163" s="1"/>
      <c r="AX163" s="2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>
        <v>23</v>
      </c>
      <c r="FC163" s="735" t="str">
        <f t="shared" si="666"/>
        <v/>
      </c>
      <c r="FD163" s="734" t="str">
        <f t="shared" si="696"/>
        <v/>
      </c>
      <c r="FE163" s="18">
        <f t="shared" si="667"/>
        <v>0</v>
      </c>
      <c r="FF163" s="275" t="str">
        <f t="shared" si="668"/>
        <v/>
      </c>
      <c r="FG163" s="145" t="str">
        <f t="shared" si="669"/>
        <v/>
      </c>
      <c r="FH163" s="726">
        <f t="shared" si="670"/>
        <v>0</v>
      </c>
      <c r="FJ163" s="701" t="str">
        <f t="shared" si="697"/>
        <v/>
      </c>
      <c r="FK163" s="66">
        <f t="shared" si="671"/>
        <v>0</v>
      </c>
      <c r="FN163" s="701" t="str">
        <f t="shared" si="698"/>
        <v/>
      </c>
      <c r="FO163" s="66">
        <f t="shared" si="672"/>
        <v>0</v>
      </c>
      <c r="FR163" s="701" t="str">
        <f t="shared" si="699"/>
        <v/>
      </c>
      <c r="FS163" s="66">
        <f t="shared" si="673"/>
        <v>0</v>
      </c>
      <c r="FV163" s="701" t="str">
        <f t="shared" si="700"/>
        <v/>
      </c>
      <c r="FW163" s="66">
        <f t="shared" si="674"/>
        <v>0</v>
      </c>
      <c r="FZ163" s="701" t="str">
        <f t="shared" si="701"/>
        <v/>
      </c>
      <c r="GA163" s="66">
        <f t="shared" si="675"/>
        <v>0</v>
      </c>
      <c r="GD163" s="701" t="str">
        <f t="shared" si="702"/>
        <v/>
      </c>
      <c r="GE163" s="66">
        <f t="shared" si="676"/>
        <v>0</v>
      </c>
      <c r="GH163" s="701" t="str">
        <f t="shared" si="703"/>
        <v/>
      </c>
      <c r="GI163" s="66">
        <f t="shared" si="677"/>
        <v>0</v>
      </c>
      <c r="GL163" s="701" t="str">
        <f t="shared" si="704"/>
        <v/>
      </c>
      <c r="GM163" s="66">
        <f t="shared" si="678"/>
        <v>0</v>
      </c>
      <c r="GP163" s="701" t="str">
        <f t="shared" si="705"/>
        <v/>
      </c>
      <c r="GQ163" s="66">
        <f t="shared" si="679"/>
        <v>0</v>
      </c>
      <c r="GT163" s="701" t="str">
        <f t="shared" si="706"/>
        <v/>
      </c>
      <c r="GU163" s="66">
        <f t="shared" si="680"/>
        <v>0</v>
      </c>
      <c r="GX163" s="701" t="str">
        <f t="shared" si="707"/>
        <v/>
      </c>
      <c r="GY163" s="66">
        <f t="shared" si="681"/>
        <v>0</v>
      </c>
      <c r="HB163" s="701" t="str">
        <f t="shared" si="708"/>
        <v/>
      </c>
      <c r="HC163" s="66">
        <f t="shared" si="682"/>
        <v>0</v>
      </c>
      <c r="HF163" s="701" t="str">
        <f t="shared" si="709"/>
        <v/>
      </c>
      <c r="HG163" s="66">
        <f t="shared" si="683"/>
        <v>0</v>
      </c>
      <c r="HJ163" s="701" t="str">
        <f t="shared" si="710"/>
        <v/>
      </c>
      <c r="HK163" s="66">
        <f t="shared" si="684"/>
        <v>0</v>
      </c>
      <c r="HN163" s="701" t="str">
        <f t="shared" si="711"/>
        <v/>
      </c>
      <c r="HO163" s="66">
        <f t="shared" si="685"/>
        <v>0</v>
      </c>
      <c r="HR163" s="701" t="str">
        <f t="shared" si="712"/>
        <v/>
      </c>
      <c r="HS163" s="66">
        <f t="shared" si="686"/>
        <v>0</v>
      </c>
      <c r="HV163" s="701" t="str">
        <f t="shared" si="713"/>
        <v/>
      </c>
      <c r="HW163" s="66">
        <f t="shared" si="687"/>
        <v>0</v>
      </c>
      <c r="HZ163" s="701" t="str">
        <f t="shared" si="714"/>
        <v/>
      </c>
      <c r="IA163" s="66">
        <f t="shared" si="688"/>
        <v>0</v>
      </c>
      <c r="ID163" s="701" t="str">
        <f t="shared" si="715"/>
        <v/>
      </c>
      <c r="IE163" s="66">
        <f t="shared" si="689"/>
        <v>0</v>
      </c>
      <c r="IH163" s="701" t="str">
        <f t="shared" si="716"/>
        <v/>
      </c>
      <c r="II163" s="66">
        <f t="shared" si="690"/>
        <v>0</v>
      </c>
      <c r="IL163" s="701" t="str">
        <f t="shared" si="717"/>
        <v/>
      </c>
      <c r="IM163" s="66">
        <f t="shared" si="691"/>
        <v>0</v>
      </c>
      <c r="IP163" s="701" t="str">
        <f t="shared" si="718"/>
        <v/>
      </c>
      <c r="IQ163" s="66">
        <f t="shared" si="692"/>
        <v>0</v>
      </c>
      <c r="IT163" s="701" t="str">
        <f t="shared" si="719"/>
        <v/>
      </c>
      <c r="IU163" s="66">
        <f t="shared" si="693"/>
        <v>0</v>
      </c>
      <c r="IX163" s="701" t="str">
        <f t="shared" si="720"/>
        <v/>
      </c>
      <c r="IY163" s="66">
        <f t="shared" si="694"/>
        <v>0</v>
      </c>
    </row>
    <row r="164" spans="44:259" ht="13.3" thickTop="1" thickBot="1" x14ac:dyDescent="0.35">
      <c r="AR164" s="1"/>
      <c r="AS164" s="1"/>
      <c r="AX164" s="2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>
        <v>24</v>
      </c>
      <c r="FC164" s="735" t="str">
        <f t="shared" si="666"/>
        <v/>
      </c>
      <c r="FD164" s="734" t="str">
        <f t="shared" si="696"/>
        <v/>
      </c>
      <c r="FE164" s="18">
        <f t="shared" si="667"/>
        <v>0</v>
      </c>
      <c r="FF164" s="275" t="str">
        <f t="shared" si="668"/>
        <v/>
      </c>
      <c r="FG164" s="145" t="str">
        <f t="shared" si="669"/>
        <v/>
      </c>
      <c r="FH164" s="726">
        <f t="shared" si="670"/>
        <v>0</v>
      </c>
      <c r="FJ164" s="701" t="str">
        <f t="shared" si="697"/>
        <v/>
      </c>
      <c r="FK164" s="66">
        <f t="shared" si="671"/>
        <v>0</v>
      </c>
      <c r="FN164" s="701" t="str">
        <f t="shared" si="698"/>
        <v/>
      </c>
      <c r="FO164" s="66">
        <f t="shared" si="672"/>
        <v>0</v>
      </c>
      <c r="FR164" s="701" t="str">
        <f t="shared" si="699"/>
        <v/>
      </c>
      <c r="FS164" s="66">
        <f t="shared" si="673"/>
        <v>0</v>
      </c>
      <c r="FV164" s="701" t="str">
        <f t="shared" si="700"/>
        <v/>
      </c>
      <c r="FW164" s="66">
        <f t="shared" si="674"/>
        <v>0</v>
      </c>
      <c r="FZ164" s="701" t="str">
        <f t="shared" si="701"/>
        <v/>
      </c>
      <c r="GA164" s="66">
        <f t="shared" si="675"/>
        <v>0</v>
      </c>
      <c r="GD164" s="701" t="str">
        <f t="shared" si="702"/>
        <v/>
      </c>
      <c r="GE164" s="66">
        <f t="shared" si="676"/>
        <v>0</v>
      </c>
      <c r="GH164" s="701" t="str">
        <f t="shared" si="703"/>
        <v/>
      </c>
      <c r="GI164" s="66">
        <f t="shared" si="677"/>
        <v>0</v>
      </c>
      <c r="GL164" s="701" t="str">
        <f t="shared" si="704"/>
        <v/>
      </c>
      <c r="GM164" s="66">
        <f t="shared" si="678"/>
        <v>0</v>
      </c>
      <c r="GP164" s="701" t="str">
        <f t="shared" si="705"/>
        <v/>
      </c>
      <c r="GQ164" s="66">
        <f t="shared" si="679"/>
        <v>0</v>
      </c>
      <c r="GT164" s="701" t="str">
        <f t="shared" si="706"/>
        <v/>
      </c>
      <c r="GU164" s="66">
        <f t="shared" si="680"/>
        <v>0</v>
      </c>
      <c r="GX164" s="701" t="str">
        <f t="shared" si="707"/>
        <v/>
      </c>
      <c r="GY164" s="66">
        <f t="shared" si="681"/>
        <v>0</v>
      </c>
      <c r="HB164" s="701" t="str">
        <f t="shared" si="708"/>
        <v/>
      </c>
      <c r="HC164" s="66">
        <f t="shared" si="682"/>
        <v>0</v>
      </c>
      <c r="HF164" s="701" t="str">
        <f t="shared" si="709"/>
        <v/>
      </c>
      <c r="HG164" s="66">
        <f t="shared" si="683"/>
        <v>0</v>
      </c>
      <c r="HJ164" s="701" t="str">
        <f t="shared" si="710"/>
        <v/>
      </c>
      <c r="HK164" s="66">
        <f t="shared" si="684"/>
        <v>0</v>
      </c>
      <c r="HN164" s="701" t="str">
        <f t="shared" si="711"/>
        <v/>
      </c>
      <c r="HO164" s="66">
        <f t="shared" si="685"/>
        <v>0</v>
      </c>
      <c r="HR164" s="701" t="str">
        <f t="shared" si="712"/>
        <v/>
      </c>
      <c r="HS164" s="66">
        <f t="shared" si="686"/>
        <v>0</v>
      </c>
      <c r="HV164" s="701" t="str">
        <f t="shared" si="713"/>
        <v/>
      </c>
      <c r="HW164" s="66">
        <f t="shared" si="687"/>
        <v>0</v>
      </c>
      <c r="HZ164" s="701" t="str">
        <f t="shared" si="714"/>
        <v/>
      </c>
      <c r="IA164" s="66">
        <f t="shared" si="688"/>
        <v>0</v>
      </c>
      <c r="ID164" s="701" t="str">
        <f t="shared" si="715"/>
        <v/>
      </c>
      <c r="IE164" s="66">
        <f t="shared" si="689"/>
        <v>0</v>
      </c>
      <c r="IH164" s="701" t="str">
        <f t="shared" si="716"/>
        <v/>
      </c>
      <c r="II164" s="66">
        <f t="shared" si="690"/>
        <v>0</v>
      </c>
      <c r="IL164" s="701" t="str">
        <f t="shared" si="717"/>
        <v/>
      </c>
      <c r="IM164" s="66">
        <f t="shared" si="691"/>
        <v>0</v>
      </c>
      <c r="IP164" s="701" t="str">
        <f t="shared" si="718"/>
        <v/>
      </c>
      <c r="IQ164" s="66">
        <f t="shared" si="692"/>
        <v>0</v>
      </c>
      <c r="IT164" s="701" t="str">
        <f t="shared" si="719"/>
        <v/>
      </c>
      <c r="IU164" s="66">
        <f t="shared" si="693"/>
        <v>0</v>
      </c>
      <c r="IX164" s="701" t="str">
        <f t="shared" si="720"/>
        <v/>
      </c>
      <c r="IY164" s="66">
        <f t="shared" si="694"/>
        <v>0</v>
      </c>
    </row>
    <row r="165" spans="44:259" ht="13.3" thickTop="1" thickBot="1" x14ac:dyDescent="0.35">
      <c r="AR165" s="1"/>
      <c r="AS165" s="1"/>
      <c r="AX165" s="2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>
        <v>25</v>
      </c>
      <c r="FC165" s="735" t="str">
        <f t="shared" si="666"/>
        <v/>
      </c>
      <c r="FD165" s="734" t="str">
        <f t="shared" si="696"/>
        <v/>
      </c>
      <c r="FE165" s="18">
        <f t="shared" si="667"/>
        <v>0</v>
      </c>
      <c r="FF165" s="275" t="str">
        <f t="shared" si="668"/>
        <v/>
      </c>
      <c r="FG165" s="145" t="str">
        <f t="shared" si="669"/>
        <v/>
      </c>
      <c r="FH165" s="726">
        <f t="shared" si="670"/>
        <v>0</v>
      </c>
      <c r="FJ165" s="701" t="str">
        <f t="shared" si="697"/>
        <v/>
      </c>
      <c r="FK165" s="66">
        <f t="shared" si="671"/>
        <v>0</v>
      </c>
      <c r="FN165" s="701" t="str">
        <f t="shared" si="698"/>
        <v/>
      </c>
      <c r="FO165" s="66">
        <f t="shared" si="672"/>
        <v>0</v>
      </c>
      <c r="FR165" s="701" t="str">
        <f t="shared" si="699"/>
        <v/>
      </c>
      <c r="FS165" s="66">
        <f t="shared" si="673"/>
        <v>0</v>
      </c>
      <c r="FV165" s="701" t="str">
        <f t="shared" si="700"/>
        <v/>
      </c>
      <c r="FW165" s="66">
        <f t="shared" si="674"/>
        <v>0</v>
      </c>
      <c r="FZ165" s="701" t="str">
        <f t="shared" si="701"/>
        <v/>
      </c>
      <c r="GA165" s="66">
        <f t="shared" si="675"/>
        <v>0</v>
      </c>
      <c r="GD165" s="701" t="str">
        <f t="shared" si="702"/>
        <v/>
      </c>
      <c r="GE165" s="66">
        <f t="shared" si="676"/>
        <v>0</v>
      </c>
      <c r="GH165" s="701" t="str">
        <f t="shared" si="703"/>
        <v/>
      </c>
      <c r="GI165" s="66">
        <f t="shared" si="677"/>
        <v>0</v>
      </c>
      <c r="GL165" s="701" t="str">
        <f t="shared" si="704"/>
        <v/>
      </c>
      <c r="GM165" s="66">
        <f t="shared" si="678"/>
        <v>0</v>
      </c>
      <c r="GP165" s="701" t="str">
        <f t="shared" si="705"/>
        <v/>
      </c>
      <c r="GQ165" s="66">
        <f t="shared" si="679"/>
        <v>0</v>
      </c>
      <c r="GT165" s="701" t="str">
        <f t="shared" si="706"/>
        <v/>
      </c>
      <c r="GU165" s="66">
        <f t="shared" si="680"/>
        <v>0</v>
      </c>
      <c r="GX165" s="701" t="str">
        <f t="shared" si="707"/>
        <v/>
      </c>
      <c r="GY165" s="66">
        <f t="shared" si="681"/>
        <v>0</v>
      </c>
      <c r="HB165" s="701" t="str">
        <f t="shared" si="708"/>
        <v/>
      </c>
      <c r="HC165" s="66">
        <f t="shared" si="682"/>
        <v>0</v>
      </c>
      <c r="HF165" s="701" t="str">
        <f t="shared" si="709"/>
        <v/>
      </c>
      <c r="HG165" s="66">
        <f t="shared" si="683"/>
        <v>0</v>
      </c>
      <c r="HJ165" s="701" t="str">
        <f t="shared" si="710"/>
        <v/>
      </c>
      <c r="HK165" s="66">
        <f t="shared" si="684"/>
        <v>0</v>
      </c>
      <c r="HN165" s="701" t="str">
        <f t="shared" si="711"/>
        <v/>
      </c>
      <c r="HO165" s="66">
        <f t="shared" si="685"/>
        <v>0</v>
      </c>
      <c r="HR165" s="701" t="str">
        <f t="shared" si="712"/>
        <v/>
      </c>
      <c r="HS165" s="66">
        <f t="shared" si="686"/>
        <v>0</v>
      </c>
      <c r="HV165" s="701" t="str">
        <f t="shared" si="713"/>
        <v/>
      </c>
      <c r="HW165" s="66">
        <f t="shared" si="687"/>
        <v>0</v>
      </c>
      <c r="HZ165" s="701" t="str">
        <f t="shared" si="714"/>
        <v/>
      </c>
      <c r="IA165" s="66">
        <f t="shared" si="688"/>
        <v>0</v>
      </c>
      <c r="ID165" s="701" t="str">
        <f t="shared" si="715"/>
        <v/>
      </c>
      <c r="IE165" s="66">
        <f t="shared" si="689"/>
        <v>0</v>
      </c>
      <c r="IH165" s="701" t="str">
        <f t="shared" si="716"/>
        <v/>
      </c>
      <c r="II165" s="66">
        <f t="shared" si="690"/>
        <v>0</v>
      </c>
      <c r="IL165" s="701" t="str">
        <f t="shared" si="717"/>
        <v/>
      </c>
      <c r="IM165" s="66">
        <f t="shared" si="691"/>
        <v>0</v>
      </c>
      <c r="IP165" s="701" t="str">
        <f t="shared" si="718"/>
        <v/>
      </c>
      <c r="IQ165" s="66">
        <f t="shared" si="692"/>
        <v>0</v>
      </c>
      <c r="IT165" s="701" t="str">
        <f t="shared" si="719"/>
        <v/>
      </c>
      <c r="IU165" s="66">
        <f t="shared" si="693"/>
        <v>0</v>
      </c>
      <c r="IX165" s="701" t="str">
        <f t="shared" si="720"/>
        <v/>
      </c>
      <c r="IY165" s="66">
        <f t="shared" si="694"/>
        <v>0</v>
      </c>
    </row>
    <row r="166" spans="44:259" ht="13.3" thickTop="1" thickBot="1" x14ac:dyDescent="0.35">
      <c r="AR166" s="1"/>
      <c r="AS166" s="1"/>
      <c r="AX166" s="2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737" t="s">
        <v>550</v>
      </c>
      <c r="EW166" s="33"/>
      <c r="EX166" s="33"/>
    </row>
    <row r="167" spans="44:259" ht="18.45" thickTop="1" thickBot="1" x14ac:dyDescent="0.45">
      <c r="AR167" s="1"/>
      <c r="AS167" s="1"/>
      <c r="AX167" s="2"/>
      <c r="DV167" s="1031" t="s">
        <v>748</v>
      </c>
      <c r="DW167" s="929"/>
      <c r="DX167" s="1040" t="s">
        <v>743</v>
      </c>
      <c r="DY167" s="920" t="s">
        <v>332</v>
      </c>
      <c r="DZ167" s="942" t="s">
        <v>204</v>
      </c>
      <c r="EA167" s="1039" t="s">
        <v>744</v>
      </c>
      <c r="EB167" s="919" t="s">
        <v>42</v>
      </c>
      <c r="EC167" s="1038" t="s">
        <v>59</v>
      </c>
      <c r="ED167" s="1032" t="s">
        <v>335</v>
      </c>
      <c r="EE167" s="1033" t="s">
        <v>745</v>
      </c>
      <c r="EF167" s="929"/>
      <c r="EG167" s="929"/>
      <c r="EH167" s="929"/>
      <c r="EI167" s="929"/>
      <c r="EJ167" s="33"/>
      <c r="EM167" s="749" t="s">
        <v>555</v>
      </c>
      <c r="EN167" s="686"/>
      <c r="EO167" s="33"/>
      <c r="EP167" s="33"/>
      <c r="EQ167" s="33"/>
      <c r="ER167" s="1113"/>
      <c r="ES167" s="1114" t="str">
        <f>DS9</f>
        <v/>
      </c>
      <c r="ET167" s="772" t="s">
        <v>564</v>
      </c>
      <c r="EU167" s="742"/>
      <c r="EV167" s="137" t="s">
        <v>549</v>
      </c>
      <c r="EW167" s="33"/>
      <c r="EX167" s="33"/>
      <c r="FE167" s="727" t="s">
        <v>545</v>
      </c>
      <c r="FF167" s="120"/>
      <c r="FG167" s="450">
        <f>FG51</f>
        <v>1</v>
      </c>
      <c r="FH167" s="33"/>
      <c r="FI167" s="450">
        <f>FG167+1</f>
        <v>2</v>
      </c>
      <c r="FL167" s="450">
        <f>FI167+1</f>
        <v>3</v>
      </c>
      <c r="FP167" s="450">
        <f>FL167+1</f>
        <v>4</v>
      </c>
      <c r="FT167" s="450">
        <f>FP167+1</f>
        <v>5</v>
      </c>
      <c r="FX167" s="450">
        <f>FT167+1</f>
        <v>6</v>
      </c>
      <c r="GB167" s="450">
        <f>FX167+1</f>
        <v>7</v>
      </c>
      <c r="GF167" s="450">
        <f>GB167+1</f>
        <v>8</v>
      </c>
      <c r="GJ167" s="450">
        <f>GF167+1</f>
        <v>9</v>
      </c>
      <c r="GN167" s="450">
        <f>GJ167+1</f>
        <v>10</v>
      </c>
      <c r="GR167" s="450">
        <f>GN167+1</f>
        <v>11</v>
      </c>
      <c r="GV167" s="450">
        <f>GR167+1</f>
        <v>12</v>
      </c>
      <c r="GZ167" s="450">
        <f>GV167+1</f>
        <v>13</v>
      </c>
      <c r="HD167" s="450">
        <f>GZ167+1</f>
        <v>14</v>
      </c>
      <c r="HH167" s="450">
        <f>HD167+1</f>
        <v>15</v>
      </c>
      <c r="HL167" s="450">
        <f>HH167+1</f>
        <v>16</v>
      </c>
      <c r="HP167" s="450">
        <f>HL167+1</f>
        <v>17</v>
      </c>
      <c r="HT167" s="450">
        <f>HP167+1</f>
        <v>18</v>
      </c>
      <c r="HX167" s="450">
        <f>HT167+1</f>
        <v>19</v>
      </c>
      <c r="IB167" s="450">
        <f>HX167+1</f>
        <v>20</v>
      </c>
      <c r="IF167" s="450">
        <f>IB167+1</f>
        <v>21</v>
      </c>
      <c r="IJ167" s="450">
        <f>IF167+1</f>
        <v>22</v>
      </c>
      <c r="IN167" s="450">
        <f>IJ167+1</f>
        <v>23</v>
      </c>
      <c r="IR167" s="450">
        <f>IN167+1</f>
        <v>24</v>
      </c>
      <c r="IV167" s="450">
        <f>IR167+1</f>
        <v>25</v>
      </c>
    </row>
    <row r="168" spans="44:259" ht="18" customHeight="1" thickTop="1" thickBot="1" x14ac:dyDescent="0.55000000000000004">
      <c r="AR168" s="1"/>
      <c r="AS168" s="1"/>
      <c r="AX168" s="2"/>
      <c r="DV168" s="1044" t="s">
        <v>746</v>
      </c>
      <c r="DW168" s="1045" t="s">
        <v>747</v>
      </c>
      <c r="DX168" s="1041"/>
      <c r="DY168" s="1043"/>
      <c r="DZ168" s="1036"/>
      <c r="EA168" s="1041"/>
      <c r="EB168" s="1034"/>
      <c r="EC168" s="1037"/>
      <c r="ED168" s="1035"/>
      <c r="EE168" s="1042"/>
      <c r="EF168" s="1027" t="s">
        <v>572</v>
      </c>
      <c r="EG168" s="929"/>
      <c r="EH168" s="929"/>
      <c r="EI168" s="929"/>
      <c r="EJ168" s="33"/>
      <c r="EM168" s="723" t="s">
        <v>374</v>
      </c>
      <c r="EN168" s="181" t="s">
        <v>333</v>
      </c>
      <c r="EO168" s="753" t="s">
        <v>133</v>
      </c>
      <c r="EP168" s="752" t="s">
        <v>335</v>
      </c>
      <c r="EQ168" s="33"/>
      <c r="ER168" s="1115">
        <f>IF(AND(MAX(ES170:ES194)&lt;&gt;1,MAX(ES170:ES194)&lt;&gt;2,MAX(ES170:ES194)&lt;&gt;3,MAX(ES170:ES194)&lt;&gt;4),"",MATCH(1,ES170:ES194,0))</f>
        <v>1</v>
      </c>
      <c r="ES168" s="1116" t="str">
        <f>IF(OR(ER168="",ER168=0),"",LOOKUP(ER168,EY170:EY194,FG170:FG194))</f>
        <v/>
      </c>
      <c r="ET168" s="773" t="s">
        <v>565</v>
      </c>
      <c r="EU168" s="771"/>
      <c r="EV168" s="740" t="s">
        <v>548</v>
      </c>
      <c r="EW168" s="738"/>
      <c r="EX168" s="739"/>
      <c r="EZ168" s="740" t="s">
        <v>548</v>
      </c>
      <c r="FA168" s="738"/>
      <c r="FB168" s="739"/>
      <c r="FC168" s="729" t="s">
        <v>129</v>
      </c>
      <c r="FD168" s="732"/>
      <c r="FE168" s="268" t="s">
        <v>282</v>
      </c>
      <c r="FF168" s="273" t="s">
        <v>77</v>
      </c>
      <c r="FG168" s="62" t="s">
        <v>75</v>
      </c>
      <c r="FH168" s="108" t="s">
        <v>544</v>
      </c>
      <c r="FI168" s="61" t="s">
        <v>73</v>
      </c>
      <c r="FJ168" s="59"/>
      <c r="FK168" s="728" t="s">
        <v>544</v>
      </c>
      <c r="FL168" s="64"/>
      <c r="FM168" s="62" t="s">
        <v>73</v>
      </c>
      <c r="FN168" s="59"/>
      <c r="FO168" s="728" t="s">
        <v>544</v>
      </c>
      <c r="FP168" s="64"/>
      <c r="FQ168" s="62" t="s">
        <v>73</v>
      </c>
      <c r="FR168" s="59"/>
      <c r="FS168" s="728" t="s">
        <v>544</v>
      </c>
      <c r="FT168" s="64"/>
      <c r="FU168" s="62" t="s">
        <v>73</v>
      </c>
      <c r="FV168" s="59"/>
      <c r="FW168" s="728" t="s">
        <v>544</v>
      </c>
      <c r="FX168" s="64"/>
      <c r="FY168" s="62" t="s">
        <v>73</v>
      </c>
      <c r="FZ168" s="59"/>
      <c r="GA168" s="728" t="s">
        <v>544</v>
      </c>
      <c r="GB168" s="64"/>
      <c r="GC168" s="62" t="s">
        <v>73</v>
      </c>
      <c r="GD168" s="59"/>
      <c r="GE168" s="728" t="s">
        <v>544</v>
      </c>
      <c r="GF168" s="64"/>
      <c r="GG168" s="62" t="s">
        <v>73</v>
      </c>
      <c r="GH168" s="59"/>
      <c r="GI168" s="728" t="s">
        <v>544</v>
      </c>
      <c r="GJ168" s="64"/>
      <c r="GK168" s="62" t="s">
        <v>73</v>
      </c>
      <c r="GL168" s="59"/>
      <c r="GM168" s="728" t="s">
        <v>544</v>
      </c>
      <c r="GN168" s="64"/>
      <c r="GO168" s="62" t="s">
        <v>73</v>
      </c>
      <c r="GP168" s="59"/>
      <c r="GQ168" s="728" t="s">
        <v>544</v>
      </c>
      <c r="GR168" s="64"/>
      <c r="GS168" s="62" t="s">
        <v>73</v>
      </c>
      <c r="GT168" s="59"/>
      <c r="GU168" s="728" t="s">
        <v>544</v>
      </c>
      <c r="GV168" s="64"/>
      <c r="GW168" s="62" t="s">
        <v>73</v>
      </c>
      <c r="GX168" s="59"/>
      <c r="GY168" s="728" t="s">
        <v>544</v>
      </c>
      <c r="GZ168" s="64"/>
      <c r="HA168" s="62" t="s">
        <v>73</v>
      </c>
      <c r="HB168" s="59"/>
      <c r="HC168" s="728" t="s">
        <v>544</v>
      </c>
      <c r="HD168" s="64"/>
      <c r="HE168" s="62" t="s">
        <v>73</v>
      </c>
      <c r="HF168" s="59"/>
      <c r="HG168" s="728" t="s">
        <v>544</v>
      </c>
      <c r="HH168" s="64"/>
      <c r="HI168" s="62" t="s">
        <v>73</v>
      </c>
      <c r="HJ168" s="59"/>
      <c r="HK168" s="728" t="s">
        <v>544</v>
      </c>
      <c r="HL168" s="64"/>
      <c r="HM168" s="62" t="s">
        <v>73</v>
      </c>
      <c r="HN168" s="59"/>
      <c r="HO168" s="728" t="s">
        <v>544</v>
      </c>
      <c r="HP168" s="64"/>
      <c r="HQ168" s="62" t="s">
        <v>73</v>
      </c>
      <c r="HR168" s="59"/>
      <c r="HS168" s="728" t="s">
        <v>544</v>
      </c>
      <c r="HT168" s="64"/>
      <c r="HU168" s="62" t="s">
        <v>73</v>
      </c>
      <c r="HV168" s="59"/>
      <c r="HW168" s="728" t="s">
        <v>544</v>
      </c>
      <c r="HX168" s="64"/>
      <c r="HY168" s="62" t="s">
        <v>73</v>
      </c>
      <c r="HZ168" s="59"/>
      <c r="IA168" s="728" t="s">
        <v>544</v>
      </c>
      <c r="IB168" s="64"/>
      <c r="IC168" s="62" t="s">
        <v>73</v>
      </c>
      <c r="ID168" s="59"/>
      <c r="IE168" s="728" t="s">
        <v>544</v>
      </c>
      <c r="IF168" s="64"/>
      <c r="IG168" s="62" t="s">
        <v>73</v>
      </c>
      <c r="IH168" s="59"/>
      <c r="II168" s="728" t="s">
        <v>544</v>
      </c>
      <c r="IJ168" s="64"/>
      <c r="IK168" s="62" t="s">
        <v>73</v>
      </c>
      <c r="IL168" s="59"/>
      <c r="IM168" s="728" t="s">
        <v>544</v>
      </c>
      <c r="IN168" s="64"/>
      <c r="IO168" s="62" t="s">
        <v>73</v>
      </c>
      <c r="IP168" s="59"/>
      <c r="IQ168" s="728" t="s">
        <v>544</v>
      </c>
      <c r="IR168" s="64"/>
      <c r="IS168" s="62" t="s">
        <v>73</v>
      </c>
      <c r="IT168" s="59"/>
      <c r="IU168" s="728" t="s">
        <v>544</v>
      </c>
      <c r="IV168" s="64"/>
      <c r="IW168" s="62" t="s">
        <v>73</v>
      </c>
      <c r="IX168" s="59"/>
      <c r="IY168" s="728" t="s">
        <v>544</v>
      </c>
    </row>
    <row r="169" spans="44:259" ht="13.3" thickTop="1" thickBot="1" x14ac:dyDescent="0.35">
      <c r="AR169" s="1"/>
      <c r="AS169" s="1"/>
      <c r="AX169" s="2"/>
      <c r="DV169" s="1030">
        <f>DW169+DX169+DZ169</f>
        <v>56.25</v>
      </c>
      <c r="DW169" s="1030">
        <f>AU9</f>
        <v>56.25</v>
      </c>
      <c r="DX169" s="1030">
        <f>SUM(DX170:DX194)</f>
        <v>0</v>
      </c>
      <c r="DY169" s="1046">
        <v>19.75</v>
      </c>
      <c r="DZ169" s="1030">
        <f>SUM(DZ170:DZ194)</f>
        <v>0</v>
      </c>
      <c r="EA169" s="929"/>
      <c r="EB169" s="929"/>
      <c r="EC169" s="929"/>
      <c r="ED169" s="929"/>
      <c r="EE169" s="929"/>
      <c r="EF169" s="925" t="s">
        <v>571</v>
      </c>
      <c r="EG169" s="929"/>
      <c r="EH169" s="929"/>
      <c r="EI169" s="929"/>
      <c r="EJ169" s="33"/>
      <c r="EM169" s="724" t="s">
        <v>93</v>
      </c>
      <c r="EN169" s="514" t="s">
        <v>39</v>
      </c>
      <c r="EO169" s="754" t="s">
        <v>134</v>
      </c>
      <c r="EP169" s="713" t="s">
        <v>39</v>
      </c>
      <c r="EQ169" s="33"/>
      <c r="ER169" s="746" t="s">
        <v>551</v>
      </c>
      <c r="ES169" s="738"/>
      <c r="ET169" s="774" t="s">
        <v>566</v>
      </c>
      <c r="EU169" s="775"/>
      <c r="EV169" s="740" t="s">
        <v>552</v>
      </c>
      <c r="EW169" s="738"/>
      <c r="EX169" s="731">
        <f>MAX(EX170:EX194)</f>
        <v>0</v>
      </c>
      <c r="EY169" s="494" t="s">
        <v>539</v>
      </c>
      <c r="EZ169" s="740" t="s">
        <v>126</v>
      </c>
      <c r="FA169" s="738"/>
      <c r="FB169" s="731">
        <f>MAX(FB170:FB194)</f>
        <v>0</v>
      </c>
      <c r="FC169" s="730" t="s">
        <v>546</v>
      </c>
      <c r="FD169" s="733"/>
      <c r="FE169" s="731">
        <f>MAX(FE170:FE194)</f>
        <v>0</v>
      </c>
      <c r="FF169" s="274"/>
      <c r="FG169" s="67"/>
      <c r="FH169" s="111" t="s">
        <v>78</v>
      </c>
      <c r="FI169" s="68"/>
      <c r="FJ169" s="67"/>
      <c r="FK169" s="111" t="s">
        <v>78</v>
      </c>
      <c r="FL169" s="16"/>
      <c r="FM169" s="67"/>
      <c r="FN169" s="67"/>
      <c r="FO169" s="111" t="s">
        <v>78</v>
      </c>
      <c r="FP169" s="16"/>
      <c r="FQ169" s="67"/>
      <c r="FR169" s="67"/>
      <c r="FS169" s="111" t="s">
        <v>78</v>
      </c>
      <c r="FT169" s="16"/>
      <c r="FU169" s="67"/>
      <c r="FV169" s="67"/>
      <c r="FW169" s="111" t="s">
        <v>78</v>
      </c>
      <c r="FX169" s="16"/>
      <c r="FY169" s="67"/>
      <c r="FZ169" s="67"/>
      <c r="GA169" s="111" t="s">
        <v>78</v>
      </c>
      <c r="GB169" s="16"/>
      <c r="GC169" s="67"/>
      <c r="GD169" s="67"/>
      <c r="GE169" s="111" t="s">
        <v>78</v>
      </c>
      <c r="GF169" s="16"/>
      <c r="GG169" s="67"/>
      <c r="GH169" s="67"/>
      <c r="GI169" s="111" t="s">
        <v>78</v>
      </c>
      <c r="GJ169" s="16"/>
      <c r="GK169" s="67"/>
      <c r="GL169" s="67"/>
      <c r="GM169" s="111" t="s">
        <v>78</v>
      </c>
      <c r="GN169" s="16"/>
      <c r="GO169" s="67"/>
      <c r="GP169" s="67"/>
      <c r="GQ169" s="111" t="s">
        <v>78</v>
      </c>
      <c r="GR169" s="16"/>
      <c r="GS169" s="67"/>
      <c r="GT169" s="67"/>
      <c r="GU169" s="111" t="s">
        <v>78</v>
      </c>
      <c r="GV169" s="16"/>
      <c r="GW169" s="67"/>
      <c r="GX169" s="67"/>
      <c r="GY169" s="111" t="s">
        <v>78</v>
      </c>
      <c r="GZ169" s="16"/>
      <c r="HA169" s="67"/>
      <c r="HB169" s="67"/>
      <c r="HC169" s="111" t="s">
        <v>78</v>
      </c>
      <c r="HD169" s="16"/>
      <c r="HE169" s="67"/>
      <c r="HF169" s="67"/>
      <c r="HG169" s="111" t="s">
        <v>78</v>
      </c>
      <c r="HH169" s="16"/>
      <c r="HI169" s="67"/>
      <c r="HJ169" s="67"/>
      <c r="HK169" s="111" t="s">
        <v>78</v>
      </c>
      <c r="HL169" s="16"/>
      <c r="HM169" s="67"/>
      <c r="HN169" s="67"/>
      <c r="HO169" s="111" t="s">
        <v>78</v>
      </c>
      <c r="HP169" s="16"/>
      <c r="HQ169" s="67"/>
      <c r="HR169" s="67"/>
      <c r="HS169" s="111" t="s">
        <v>78</v>
      </c>
      <c r="HT169" s="16"/>
      <c r="HU169" s="67"/>
      <c r="HV169" s="67"/>
      <c r="HW169" s="111" t="s">
        <v>78</v>
      </c>
      <c r="HX169" s="16"/>
      <c r="HY169" s="67"/>
      <c r="HZ169" s="67"/>
      <c r="IA169" s="111" t="s">
        <v>78</v>
      </c>
      <c r="IB169" s="16"/>
      <c r="IC169" s="67"/>
      <c r="ID169" s="67"/>
      <c r="IE169" s="111" t="s">
        <v>78</v>
      </c>
      <c r="IF169" s="16"/>
      <c r="IG169" s="67"/>
      <c r="IH169" s="67"/>
      <c r="II169" s="111" t="s">
        <v>78</v>
      </c>
      <c r="IJ169" s="16"/>
      <c r="IK169" s="67"/>
      <c r="IL169" s="67"/>
      <c r="IM169" s="111" t="s">
        <v>78</v>
      </c>
      <c r="IN169" s="16"/>
      <c r="IO169" s="67"/>
      <c r="IP169" s="67"/>
      <c r="IQ169" s="111" t="s">
        <v>78</v>
      </c>
      <c r="IR169" s="16"/>
      <c r="IS169" s="67"/>
      <c r="IT169" s="67"/>
      <c r="IU169" s="111" t="s">
        <v>78</v>
      </c>
      <c r="IV169" s="16"/>
      <c r="IW169" s="67"/>
      <c r="IX169" s="67"/>
      <c r="IY169" s="111" t="s">
        <v>78</v>
      </c>
    </row>
    <row r="170" spans="44:259" ht="13.3" thickTop="1" thickBot="1" x14ac:dyDescent="0.35">
      <c r="AR170" s="1"/>
      <c r="AS170" s="1"/>
      <c r="AX170" s="2"/>
      <c r="DX170" s="1047" t="str">
        <f>IF(EF170="c",DY170*$AU$19/$BK$11,"")</f>
        <v/>
      </c>
      <c r="DY170" s="1019" t="str">
        <f>IF(EF170="c",K25,"")</f>
        <v/>
      </c>
      <c r="DZ170" s="1018" t="str">
        <f>IF(EF170="c",EA170*EB170,"")</f>
        <v/>
      </c>
      <c r="EA170" s="1018" t="str">
        <f>IF(EF170="c",M25,"")</f>
        <v/>
      </c>
      <c r="EB170" s="1022" t="str">
        <f>IF(OR($P$16="",EE170="",EC170="",ED170=""),"",IF($M$15="",$B$18*$AU$19*61.7*100000*((EE170/$B$17)^1.85/($P$16^1.85*ED170^4.87)),$B$18*$AU$19*((4*$P$16*((EC170^7)/(ED170/1000))^(1/4))/(ED170/1000))))</f>
        <v/>
      </c>
      <c r="EC170" s="1020" t="str">
        <f>IF(OR(EE170="",ED170=""),"",(66.7*EE170/$B$17)/(PI()*ED170^2))</f>
        <v/>
      </c>
      <c r="ED170" s="1017" t="str">
        <f>W25</f>
        <v/>
      </c>
      <c r="EE170" s="1021" t="str">
        <f>IF(EF170="c",MIN($R$25:$R$49),"")</f>
        <v/>
      </c>
      <c r="EF170" s="1029" t="str">
        <f>DO25</f>
        <v/>
      </c>
      <c r="EG170" s="1028">
        <v>1</v>
      </c>
      <c r="EH170" s="1026" t="str">
        <f t="shared" ref="EH170:EI173" si="733">DQ25</f>
        <v/>
      </c>
      <c r="EI170" s="1026" t="str">
        <f t="shared" si="733"/>
        <v/>
      </c>
      <c r="EJ170" s="33"/>
      <c r="EM170" s="750" t="str">
        <f t="shared" ref="EM170:EM194" si="734">IF(OR($AU$8="",H25=""),"",$AU$8*H25)</f>
        <v/>
      </c>
      <c r="EN170" s="58" t="str">
        <f t="shared" ref="EN170:EN194" si="735">IF(OR(EM170="",M25="",$FD$20="",$FD$20=0),"",IF($M$15="",ROUND((61.7*100000*((EM170/$B$17)^1.85/($P$16^1.85*$FD$20)))^(1/4.87),1),ROUND(((4^11*$P$16^4*((EM170/$B$17/60)*0.001)^7)/(PI()^7*$FD$20^4))^(1/19)*1000,1)))</f>
        <v/>
      </c>
      <c r="EO170" s="748" t="str">
        <f t="shared" ref="EO170:EO194" si="736">IF(E25="","",IF(AND($U25&lt;&gt;"",D25="",F25&lt;&gt;$EV$53),$U25,IF(AND($A$5&gt;=1,$A$5&lt;=7,MAX($CW25:$CY25)=0),EN170,IF(AND($A$5&gt;=1,$A$5&lt;=7),MAX($CW25:$CY25),IF(AND($A$5&gt;=11,$A$5&lt;=18),MAX($CT55:$CV55),IF($A$5=8,$CT25,IF($A$5=9,$CU25,IF($A$5=10,$CV25,EN170))))))))</f>
        <v/>
      </c>
      <c r="EP170" s="751" t="str">
        <f>IF(OR(EN170="",EN170=0),"",IF($EO170&gt;'Quadro 1'!$G$23,'Quadro 1'!$G$23,IF($EO170&lt;'Quadro 1'!$G$10,'Quadro 1'!$G$10,EO170)))</f>
        <v/>
      </c>
      <c r="EQ170" s="33"/>
      <c r="ER170" s="735" t="str">
        <f t="shared" ref="ER170:ER194" si="737">IF(AND(EV170="Crítico",$EW$195&lt;&gt;0),"Crítico",IF(AND(EV170="",$EW$195&gt;=1),"",IF(AND(EZ170="Crítico",$FA$195&lt;&gt;0),"Crítico",EX25)))</f>
        <v>Crítico</v>
      </c>
      <c r="ES170" s="741">
        <f>IF(ER170="","",1)</f>
        <v>1</v>
      </c>
      <c r="ET170" s="736" t="str">
        <f t="shared" ref="ET170:ET194" si="738">IF(OR(DT25="",DT25=0),"",COUNTIF($DT$25:$ER$49,DT25))</f>
        <v/>
      </c>
      <c r="EU170" s="33">
        <f t="shared" ref="EU170:EU194" si="739">IF(OR(ET170="",ET170&gt;1),0,ET170)</f>
        <v>0</v>
      </c>
      <c r="EV170" s="735" t="str">
        <f t="shared" ref="EV170:EV194" si="740">IF(OR(EX170="",EX170=0,M25=""),"",IF(EX170=$EX$169,"Crítico",""))</f>
        <v/>
      </c>
      <c r="EW170" s="741" t="str">
        <f>IF(EV170="","",1)</f>
        <v/>
      </c>
      <c r="EX170" s="743" t="str">
        <f t="shared" ref="EX170:EX194" si="741">IF(EU170=1,FB170,"")</f>
        <v/>
      </c>
      <c r="EY170" s="33">
        <v>1</v>
      </c>
      <c r="EZ170" s="735" t="str">
        <f t="shared" ref="EZ170:EZ194" si="742">IF(OR(FB170="",FB170=0,M25=""),"",IF(FB170=$FB$169,"Crítico",""))</f>
        <v/>
      </c>
      <c r="FA170" s="741" t="str">
        <f>IF(EZ170="","",1)</f>
        <v/>
      </c>
      <c r="FB170" s="18">
        <f>IF(FE170="","",FE170+FE141)</f>
        <v>0</v>
      </c>
      <c r="FC170" s="735" t="str">
        <f t="shared" ref="FC170:FC194" si="743">IF(OR(FE170="",FE170=0),"",IF(FE170=$FE$169,"Crítico",""))</f>
        <v/>
      </c>
      <c r="FD170" s="734" t="str">
        <f>IF(FC170="","",1)</f>
        <v/>
      </c>
      <c r="FE170" s="1477">
        <f>FH170+FK170+FO170+FS170+FW170+GA170+GE170+GI170+GM170+GQ170+GU170+GY170+HC170+HG170+HK170+HO170+HS170+HW170+IA170+IE170+II170+IM170+IQ170+IU170+IY170</f>
        <v>0</v>
      </c>
      <c r="FF170" s="275" t="str">
        <f t="shared" ref="FF170:FF194" si="744">IF(OR(F25="",G25=""),"",F25)</f>
        <v/>
      </c>
      <c r="FG170" s="145" t="str">
        <f t="shared" ref="FG170:FG194" si="745">IF(OR(F25="",G25=""),"",G25)</f>
        <v/>
      </c>
      <c r="FH170" s="726">
        <f t="shared" ref="FH170:FH194" si="746">IF(OR($P$16="",H25="",EP170="",$AU$8=""),0,IF($M$15="",M25*$B$18*$AU$19*61.7*100000*((($AU$8*H25)/$B$17)^1.85/($P$16^1.85*EP170^4.87)),M25*$B$18*$AU$19*((4*$P$16*((((66.7*($AU$8*H25)/$B$17)/(PI()*EP170^2))^7)/(EP170/1000))^(1/4))/(EP170/1000))))</f>
        <v>0</v>
      </c>
      <c r="FI170" s="718"/>
      <c r="FJ170" s="701" t="str">
        <f>FJ141</f>
        <v/>
      </c>
      <c r="FK170" s="66">
        <f t="shared" ref="FK170:FK194" si="747">IF(FJ170="",0,LOOKUP(FJ170,$EY$170:$EY$194,$FH$170:$FH$194))</f>
        <v>0</v>
      </c>
      <c r="FL170" s="715"/>
      <c r="FM170" s="716"/>
      <c r="FN170" s="701" t="str">
        <f>FN141</f>
        <v/>
      </c>
      <c r="FO170" s="66">
        <f t="shared" ref="FO170:FO194" si="748">IF(FN170="",0,LOOKUP(FN170,$EY$170:$EY$194,$FH$170:$FH$194))</f>
        <v>0</v>
      </c>
      <c r="FP170" s="715"/>
      <c r="FQ170" s="716"/>
      <c r="FR170" s="701" t="str">
        <f>FR141</f>
        <v/>
      </c>
      <c r="FS170" s="66">
        <f t="shared" ref="FS170:FS194" si="749">IF(FR170="",0,LOOKUP(FR170,$EY$170:$EY$194,$FH$170:$FH$194))</f>
        <v>0</v>
      </c>
      <c r="FT170" s="715"/>
      <c r="FU170" s="716"/>
      <c r="FV170" s="701" t="str">
        <f>FV141</f>
        <v/>
      </c>
      <c r="FW170" s="66">
        <f t="shared" ref="FW170:FW194" si="750">IF(FV170="",0,LOOKUP(FV170,$EY$170:$EY$194,$FH$170:$FH$194))</f>
        <v>0</v>
      </c>
      <c r="FX170" s="715"/>
      <c r="FY170" s="716"/>
      <c r="FZ170" s="701" t="str">
        <f>FZ141</f>
        <v/>
      </c>
      <c r="GA170" s="66">
        <f t="shared" ref="GA170:GA194" si="751">IF(FZ170="",0,LOOKUP(FZ170,$EY$170:$EY$194,$FH$170:$FH$194))</f>
        <v>0</v>
      </c>
      <c r="GB170" s="715"/>
      <c r="GC170" s="716"/>
      <c r="GD170" s="701" t="str">
        <f>GD141</f>
        <v/>
      </c>
      <c r="GE170" s="66">
        <f t="shared" ref="GE170:GE194" si="752">IF(GD170="",0,LOOKUP(GD170,$EY$170:$EY$194,$FH$170:$FH$194))</f>
        <v>0</v>
      </c>
      <c r="GF170" s="715"/>
      <c r="GG170" s="716"/>
      <c r="GH170" s="701" t="str">
        <f>GH141</f>
        <v/>
      </c>
      <c r="GI170" s="66">
        <f t="shared" ref="GI170:GI194" si="753">IF(GH170="",0,LOOKUP(GH170,$EY$170:$EY$194,$FH$170:$FH$194))</f>
        <v>0</v>
      </c>
      <c r="GJ170" s="715"/>
      <c r="GK170" s="716"/>
      <c r="GL170" s="701" t="str">
        <f>GL141</f>
        <v/>
      </c>
      <c r="GM170" s="66">
        <f t="shared" ref="GM170:GM194" si="754">IF(GL170="",0,LOOKUP(GL170,$EY$170:$EY$194,$FH$170:$FH$194))</f>
        <v>0</v>
      </c>
      <c r="GN170" s="715"/>
      <c r="GO170" s="716"/>
      <c r="GP170" s="701" t="str">
        <f>GP141</f>
        <v/>
      </c>
      <c r="GQ170" s="66">
        <f t="shared" ref="GQ170:GQ194" si="755">IF(GP170="",0,LOOKUP(GP170,$EY$170:$EY$194,$FH$170:$FH$194))</f>
        <v>0</v>
      </c>
      <c r="GR170" s="715"/>
      <c r="GS170" s="716"/>
      <c r="GT170" s="701" t="str">
        <f>GT141</f>
        <v/>
      </c>
      <c r="GU170" s="66">
        <f t="shared" ref="GU170:GU194" si="756">IF(GT170="",0,LOOKUP(GT170,$EY$170:$EY$194,$FH$170:$FH$194))</f>
        <v>0</v>
      </c>
      <c r="GV170" s="715"/>
      <c r="GW170" s="716"/>
      <c r="GX170" s="701" t="str">
        <f>GX141</f>
        <v/>
      </c>
      <c r="GY170" s="66">
        <f t="shared" ref="GY170:GY194" si="757">IF(GX170="",0,LOOKUP(GX170,$EY$170:$EY$194,$FH$170:$FH$194))</f>
        <v>0</v>
      </c>
      <c r="GZ170" s="715"/>
      <c r="HA170" s="716"/>
      <c r="HB170" s="701" t="str">
        <f>HB141</f>
        <v/>
      </c>
      <c r="HC170" s="66">
        <f t="shared" ref="HC170:HC194" si="758">IF(HB170="",0,LOOKUP(HB170,$EY$170:$EY$194,$FH$170:$FH$194))</f>
        <v>0</v>
      </c>
      <c r="HD170" s="715"/>
      <c r="HE170" s="716"/>
      <c r="HF170" s="701" t="str">
        <f>HF141</f>
        <v/>
      </c>
      <c r="HG170" s="66">
        <f t="shared" ref="HG170:HG194" si="759">IF(HF170="",0,LOOKUP(HF170,$EY$170:$EY$194,$FH$170:$FH$194))</f>
        <v>0</v>
      </c>
      <c r="HH170" s="715"/>
      <c r="HI170" s="716"/>
      <c r="HJ170" s="701" t="str">
        <f>HJ141</f>
        <v/>
      </c>
      <c r="HK170" s="66">
        <f t="shared" ref="HK170:HK194" si="760">IF(HJ170="",0,LOOKUP(HJ170,$EY$170:$EY$194,$FH$170:$FH$194))</f>
        <v>0</v>
      </c>
      <c r="HL170" s="715"/>
      <c r="HM170" s="716"/>
      <c r="HN170" s="701" t="str">
        <f>HN141</f>
        <v/>
      </c>
      <c r="HO170" s="66">
        <f t="shared" ref="HO170:HO194" si="761">IF(HN170="",0,LOOKUP(HN170,$EY$170:$EY$194,$FH$170:$FH$194))</f>
        <v>0</v>
      </c>
      <c r="HP170" s="715"/>
      <c r="HQ170" s="716"/>
      <c r="HR170" s="701" t="str">
        <f>HR141</f>
        <v/>
      </c>
      <c r="HS170" s="66">
        <f t="shared" ref="HS170:HS194" si="762">IF(HR170="",0,LOOKUP(HR170,$EY$170:$EY$194,$FH$170:$FH$194))</f>
        <v>0</v>
      </c>
      <c r="HT170" s="715"/>
      <c r="HU170" s="716"/>
      <c r="HV170" s="701" t="str">
        <f>HV141</f>
        <v/>
      </c>
      <c r="HW170" s="66">
        <f t="shared" ref="HW170:HW194" si="763">IF(HV170="",0,LOOKUP(HV170,$EY$170:$EY$194,$FH$170:$FH$194))</f>
        <v>0</v>
      </c>
      <c r="HX170" s="715"/>
      <c r="HY170" s="716"/>
      <c r="HZ170" s="701" t="str">
        <f>HZ141</f>
        <v/>
      </c>
      <c r="IA170" s="66">
        <f t="shared" ref="IA170:IA194" si="764">IF(HZ170="",0,LOOKUP(HZ170,$EY$170:$EY$194,$FH$170:$FH$194))</f>
        <v>0</v>
      </c>
      <c r="IB170" s="715"/>
      <c r="IC170" s="716"/>
      <c r="ID170" s="701" t="str">
        <f>ID141</f>
        <v/>
      </c>
      <c r="IE170" s="66">
        <f t="shared" ref="IE170:IE194" si="765">IF(ID170="",0,LOOKUP(ID170,$EY$170:$EY$194,$FH$170:$FH$194))</f>
        <v>0</v>
      </c>
      <c r="IF170" s="715"/>
      <c r="IG170" s="716"/>
      <c r="IH170" s="701" t="str">
        <f>IH141</f>
        <v/>
      </c>
      <c r="II170" s="66">
        <f t="shared" ref="II170:II194" si="766">IF(IH170="",0,LOOKUP(IH170,$EY$170:$EY$194,$FH$170:$FH$194))</f>
        <v>0</v>
      </c>
      <c r="IJ170" s="715"/>
      <c r="IK170" s="716"/>
      <c r="IL170" s="701" t="str">
        <f>IL141</f>
        <v/>
      </c>
      <c r="IM170" s="66">
        <f t="shared" ref="IM170:IM194" si="767">IF(IL170="",0,LOOKUP(IL170,$EY$170:$EY$194,$FH$170:$FH$194))</f>
        <v>0</v>
      </c>
      <c r="IN170" s="715"/>
      <c r="IO170" s="716"/>
      <c r="IP170" s="701" t="str">
        <f>IP141</f>
        <v/>
      </c>
      <c r="IQ170" s="66">
        <f t="shared" ref="IQ170:IQ194" si="768">IF(IP170="",0,LOOKUP(IP170,$EY$170:$EY$194,$FH$170:$FH$194))</f>
        <v>0</v>
      </c>
      <c r="IR170" s="715"/>
      <c r="IS170" s="716"/>
      <c r="IT170" s="701" t="str">
        <f>IT141</f>
        <v/>
      </c>
      <c r="IU170" s="66">
        <f t="shared" ref="IU170:IU194" si="769">IF(IT170="",0,LOOKUP(IT170,$EY$170:$EY$194,$FH$170:$FH$194))</f>
        <v>0</v>
      </c>
      <c r="IV170" s="715"/>
      <c r="IW170" s="716"/>
      <c r="IX170" s="701" t="str">
        <f>IX141</f>
        <v/>
      </c>
      <c r="IY170" s="66">
        <f t="shared" ref="IY170:IY194" si="770">IF(IX170="",0,LOOKUP(IX170,$EY$170:$EY$194,$FH$170:$FH$194))</f>
        <v>0</v>
      </c>
    </row>
    <row r="171" spans="44:259" ht="13.3" thickTop="1" thickBot="1" x14ac:dyDescent="0.35">
      <c r="AR171" s="1"/>
      <c r="AS171" s="1"/>
      <c r="AX171" s="2"/>
      <c r="DX171" s="1047" t="str">
        <f t="shared" ref="DX171:DX194" si="771">IF(EF171="c",DY171*$AU$19/$BK$11,"")</f>
        <v/>
      </c>
      <c r="DY171" s="1019" t="str">
        <f t="shared" ref="DY171:DY194" si="772">IF(EF171="c",K26,"")</f>
        <v/>
      </c>
      <c r="DZ171" s="1018" t="str">
        <f t="shared" ref="DZ171:DZ194" si="773">IF(EF171="c",EA171*EB171,"")</f>
        <v/>
      </c>
      <c r="EA171" s="1018" t="str">
        <f t="shared" ref="EA171:EA194" si="774">IF(EF171="c",M26,"")</f>
        <v/>
      </c>
      <c r="EB171" s="1022" t="str">
        <f t="shared" ref="EB171:EB194" si="775">IF(OR($P$16="",EE171="",EC171="",ED171=""),"",IF($M$15="",$B$18*$AU$19*61.7*100000*((EE171/$B$17)^1.85/($P$16^1.85*ED171^4.87)),$B$18*$AU$19*((4*$P$16*((EC171^7)/(ED171/1000))^(1/4))/(ED171/1000))))</f>
        <v/>
      </c>
      <c r="EC171" s="1020" t="str">
        <f t="shared" ref="EC171:EC194" si="776">IF(OR(EE171="",ED171=""),"",(66.7*EE171/$B$17)/(PI()*ED171^2))</f>
        <v/>
      </c>
      <c r="ED171" s="1017" t="str">
        <f t="shared" ref="ED171:ED194" si="777">W26</f>
        <v/>
      </c>
      <c r="EE171" s="1021" t="str">
        <f t="shared" ref="EE171:EE194" si="778">IF(EF171="c",MIN($R$25:$R$49),"")</f>
        <v/>
      </c>
      <c r="EF171" s="1029" t="str">
        <f>DO26</f>
        <v/>
      </c>
      <c r="EG171" s="1028">
        <v>2</v>
      </c>
      <c r="EH171" s="1026" t="str">
        <f t="shared" si="733"/>
        <v/>
      </c>
      <c r="EI171" s="1026" t="str">
        <f t="shared" si="733"/>
        <v/>
      </c>
      <c r="EJ171" s="33"/>
      <c r="EM171" s="750" t="str">
        <f t="shared" si="734"/>
        <v/>
      </c>
      <c r="EN171" s="58" t="str">
        <f t="shared" si="735"/>
        <v/>
      </c>
      <c r="EO171" s="748" t="str">
        <f t="shared" si="736"/>
        <v/>
      </c>
      <c r="EP171" s="751" t="str">
        <f>IF(OR(EN171="",EN171=0),"",IF($EO171&gt;'Quadro 1'!$G$23,'Quadro 1'!$G$23,IF($EO171&lt;'Quadro 1'!$G$10,'Quadro 1'!$G$10,EO171)))</f>
        <v/>
      </c>
      <c r="EQ171" s="33"/>
      <c r="ER171" s="735" t="str">
        <f t="shared" si="737"/>
        <v>Crítico</v>
      </c>
      <c r="ES171" s="741">
        <f t="shared" ref="ES171:ES194" si="779">IF(ER171="","",1)</f>
        <v>1</v>
      </c>
      <c r="ET171" s="736" t="str">
        <f t="shared" si="738"/>
        <v/>
      </c>
      <c r="EU171" s="33">
        <f t="shared" si="739"/>
        <v>0</v>
      </c>
      <c r="EV171" s="735" t="str">
        <f t="shared" si="740"/>
        <v/>
      </c>
      <c r="EW171" s="741" t="str">
        <f t="shared" ref="EW171:EW194" si="780">IF(EV171="","",1)</f>
        <v/>
      </c>
      <c r="EX171" s="743" t="str">
        <f t="shared" si="741"/>
        <v/>
      </c>
      <c r="EY171" s="33">
        <v>2</v>
      </c>
      <c r="EZ171" s="735" t="str">
        <f t="shared" si="742"/>
        <v/>
      </c>
      <c r="FA171" s="741" t="str">
        <f t="shared" ref="FA171:FA194" si="781">IF(EZ171="","",1)</f>
        <v/>
      </c>
      <c r="FB171" s="18">
        <f t="shared" ref="FB171:FB194" si="782">IF(FE171="","",FE171+FE142)</f>
        <v>0</v>
      </c>
      <c r="FC171" s="735" t="str">
        <f t="shared" si="743"/>
        <v/>
      </c>
      <c r="FD171" s="734" t="str">
        <f t="shared" ref="FD171:FD194" si="783">IF(FC171="","",1)</f>
        <v/>
      </c>
      <c r="FE171" s="1477">
        <f>FH171+FK171+FO171+FS171+FW171+GA171+GE171+GI171+GM171+GQ171+GU171+GY171+HC171+HG171+HK171+HO171+HS171+HW171+IA171+IE171+II171+IM171+IQ171+IU171+IY171</f>
        <v>0</v>
      </c>
      <c r="FF171" s="275" t="str">
        <f t="shared" si="744"/>
        <v/>
      </c>
      <c r="FG171" s="145" t="str">
        <f t="shared" si="745"/>
        <v/>
      </c>
      <c r="FH171" s="726">
        <f t="shared" si="746"/>
        <v>0</v>
      </c>
      <c r="FI171" s="718"/>
      <c r="FJ171" s="701" t="str">
        <f t="shared" ref="FJ171:FJ194" si="784">FJ142</f>
        <v/>
      </c>
      <c r="FK171" s="66">
        <f t="shared" si="747"/>
        <v>0</v>
      </c>
      <c r="FL171" s="717"/>
      <c r="FM171" s="716"/>
      <c r="FN171" s="701" t="str">
        <f t="shared" ref="FN171:FN194" si="785">FN142</f>
        <v/>
      </c>
      <c r="FO171" s="66">
        <f t="shared" si="748"/>
        <v>0</v>
      </c>
      <c r="FP171" s="717"/>
      <c r="FQ171" s="716"/>
      <c r="FR171" s="701" t="str">
        <f t="shared" ref="FR171:FR194" si="786">FR142</f>
        <v/>
      </c>
      <c r="FS171" s="66">
        <f t="shared" si="749"/>
        <v>0</v>
      </c>
      <c r="FT171" s="717"/>
      <c r="FU171" s="716"/>
      <c r="FV171" s="701" t="str">
        <f t="shared" ref="FV171:FV194" si="787">FV142</f>
        <v/>
      </c>
      <c r="FW171" s="66">
        <f t="shared" si="750"/>
        <v>0</v>
      </c>
      <c r="FX171" s="717"/>
      <c r="FY171" s="716"/>
      <c r="FZ171" s="701" t="str">
        <f t="shared" ref="FZ171:FZ194" si="788">FZ142</f>
        <v/>
      </c>
      <c r="GA171" s="66">
        <f t="shared" si="751"/>
        <v>0</v>
      </c>
      <c r="GB171" s="717"/>
      <c r="GC171" s="716"/>
      <c r="GD171" s="701" t="str">
        <f t="shared" ref="GD171:GD194" si="789">GD142</f>
        <v/>
      </c>
      <c r="GE171" s="66">
        <f t="shared" si="752"/>
        <v>0</v>
      </c>
      <c r="GF171" s="717"/>
      <c r="GG171" s="716"/>
      <c r="GH171" s="701" t="str">
        <f t="shared" ref="GH171:GH194" si="790">GH142</f>
        <v/>
      </c>
      <c r="GI171" s="66">
        <f t="shared" si="753"/>
        <v>0</v>
      </c>
      <c r="GJ171" s="717"/>
      <c r="GK171" s="716"/>
      <c r="GL171" s="701" t="str">
        <f t="shared" ref="GL171:GL194" si="791">GL142</f>
        <v/>
      </c>
      <c r="GM171" s="66">
        <f t="shared" si="754"/>
        <v>0</v>
      </c>
      <c r="GN171" s="717"/>
      <c r="GO171" s="716"/>
      <c r="GP171" s="701" t="str">
        <f t="shared" ref="GP171:GP194" si="792">GP142</f>
        <v/>
      </c>
      <c r="GQ171" s="66">
        <f t="shared" si="755"/>
        <v>0</v>
      </c>
      <c r="GR171" s="717"/>
      <c r="GS171" s="716"/>
      <c r="GT171" s="701" t="str">
        <f t="shared" ref="GT171:GT194" si="793">GT142</f>
        <v/>
      </c>
      <c r="GU171" s="66">
        <f t="shared" si="756"/>
        <v>0</v>
      </c>
      <c r="GV171" s="717"/>
      <c r="GW171" s="716"/>
      <c r="GX171" s="701" t="str">
        <f t="shared" ref="GX171:GX194" si="794">GX142</f>
        <v/>
      </c>
      <c r="GY171" s="66">
        <f t="shared" si="757"/>
        <v>0</v>
      </c>
      <c r="GZ171" s="717"/>
      <c r="HA171" s="716"/>
      <c r="HB171" s="701" t="str">
        <f t="shared" ref="HB171:HB194" si="795">HB142</f>
        <v/>
      </c>
      <c r="HC171" s="66">
        <f t="shared" si="758"/>
        <v>0</v>
      </c>
      <c r="HD171" s="717"/>
      <c r="HE171" s="716"/>
      <c r="HF171" s="701" t="str">
        <f t="shared" ref="HF171:HF194" si="796">HF142</f>
        <v/>
      </c>
      <c r="HG171" s="66">
        <f t="shared" si="759"/>
        <v>0</v>
      </c>
      <c r="HH171" s="717"/>
      <c r="HI171" s="716"/>
      <c r="HJ171" s="701" t="str">
        <f t="shared" ref="HJ171:HJ194" si="797">HJ142</f>
        <v/>
      </c>
      <c r="HK171" s="66">
        <f t="shared" si="760"/>
        <v>0</v>
      </c>
      <c r="HL171" s="717"/>
      <c r="HM171" s="716"/>
      <c r="HN171" s="701" t="str">
        <f t="shared" ref="HN171:HN194" si="798">HN142</f>
        <v/>
      </c>
      <c r="HO171" s="66">
        <f t="shared" si="761"/>
        <v>0</v>
      </c>
      <c r="HP171" s="717"/>
      <c r="HQ171" s="716"/>
      <c r="HR171" s="701" t="str">
        <f t="shared" ref="HR171:HR194" si="799">HR142</f>
        <v/>
      </c>
      <c r="HS171" s="66">
        <f t="shared" si="762"/>
        <v>0</v>
      </c>
      <c r="HT171" s="717"/>
      <c r="HU171" s="716"/>
      <c r="HV171" s="701" t="str">
        <f t="shared" ref="HV171:HV194" si="800">HV142</f>
        <v/>
      </c>
      <c r="HW171" s="66">
        <f t="shared" si="763"/>
        <v>0</v>
      </c>
      <c r="HX171" s="717"/>
      <c r="HY171" s="716"/>
      <c r="HZ171" s="701" t="str">
        <f t="shared" ref="HZ171:HZ194" si="801">HZ142</f>
        <v/>
      </c>
      <c r="IA171" s="66">
        <f t="shared" si="764"/>
        <v>0</v>
      </c>
      <c r="IB171" s="717"/>
      <c r="IC171" s="716"/>
      <c r="ID171" s="701" t="str">
        <f t="shared" ref="ID171:ID194" si="802">ID142</f>
        <v/>
      </c>
      <c r="IE171" s="66">
        <f t="shared" si="765"/>
        <v>0</v>
      </c>
      <c r="IF171" s="717"/>
      <c r="IG171" s="716"/>
      <c r="IH171" s="701" t="str">
        <f t="shared" ref="IH171:IH194" si="803">IH142</f>
        <v/>
      </c>
      <c r="II171" s="66">
        <f t="shared" si="766"/>
        <v>0</v>
      </c>
      <c r="IJ171" s="717"/>
      <c r="IK171" s="716"/>
      <c r="IL171" s="701" t="str">
        <f t="shared" ref="IL171:IL194" si="804">IL142</f>
        <v/>
      </c>
      <c r="IM171" s="66">
        <f t="shared" si="767"/>
        <v>0</v>
      </c>
      <c r="IN171" s="717"/>
      <c r="IO171" s="716"/>
      <c r="IP171" s="701" t="str">
        <f t="shared" ref="IP171:IP194" si="805">IP142</f>
        <v/>
      </c>
      <c r="IQ171" s="66">
        <f t="shared" si="768"/>
        <v>0</v>
      </c>
      <c r="IR171" s="717"/>
      <c r="IS171" s="716"/>
      <c r="IT171" s="701" t="str">
        <f t="shared" ref="IT171:IT194" si="806">IT142</f>
        <v/>
      </c>
      <c r="IU171" s="66">
        <f t="shared" si="769"/>
        <v>0</v>
      </c>
      <c r="IV171" s="717"/>
      <c r="IW171" s="716"/>
      <c r="IX171" s="701" t="str">
        <f t="shared" ref="IX171:IX194" si="807">IX142</f>
        <v/>
      </c>
      <c r="IY171" s="66">
        <f t="shared" si="770"/>
        <v>0</v>
      </c>
    </row>
    <row r="172" spans="44:259" ht="13.3" thickTop="1" thickBot="1" x14ac:dyDescent="0.35">
      <c r="AR172" s="1"/>
      <c r="AS172" s="1"/>
      <c r="AX172" s="2"/>
      <c r="DX172" s="1047" t="str">
        <f t="shared" si="771"/>
        <v/>
      </c>
      <c r="DY172" s="1019" t="str">
        <f t="shared" si="772"/>
        <v/>
      </c>
      <c r="DZ172" s="1018" t="str">
        <f t="shared" si="773"/>
        <v/>
      </c>
      <c r="EA172" s="1018" t="str">
        <f t="shared" si="774"/>
        <v/>
      </c>
      <c r="EB172" s="1022" t="str">
        <f t="shared" si="775"/>
        <v/>
      </c>
      <c r="EC172" s="1020" t="str">
        <f t="shared" si="776"/>
        <v/>
      </c>
      <c r="ED172" s="1017" t="str">
        <f t="shared" si="777"/>
        <v/>
      </c>
      <c r="EE172" s="1021" t="str">
        <f t="shared" si="778"/>
        <v/>
      </c>
      <c r="EF172" s="1029" t="str">
        <f>DO27</f>
        <v/>
      </c>
      <c r="EG172" s="1028">
        <v>3</v>
      </c>
      <c r="EH172" s="1026" t="str">
        <f t="shared" si="733"/>
        <v/>
      </c>
      <c r="EI172" s="1026" t="str">
        <f t="shared" si="733"/>
        <v/>
      </c>
      <c r="EJ172" s="33"/>
      <c r="EM172" s="750" t="str">
        <f t="shared" si="734"/>
        <v/>
      </c>
      <c r="EN172" s="58" t="str">
        <f t="shared" si="735"/>
        <v/>
      </c>
      <c r="EO172" s="748" t="str">
        <f t="shared" si="736"/>
        <v/>
      </c>
      <c r="EP172" s="751" t="str">
        <f>IF(OR(EN172="",EN172=0),"",IF($EO172&gt;'Quadro 1'!$G$23,'Quadro 1'!$G$23,IF($EO172&lt;'Quadro 1'!$G$10,'Quadro 1'!$G$10,EO172)))</f>
        <v/>
      </c>
      <c r="EQ172" s="33"/>
      <c r="ER172" s="735" t="str">
        <f t="shared" si="737"/>
        <v>Crítico</v>
      </c>
      <c r="ES172" s="741">
        <f t="shared" si="779"/>
        <v>1</v>
      </c>
      <c r="ET172" s="736" t="str">
        <f t="shared" si="738"/>
        <v/>
      </c>
      <c r="EU172" s="33">
        <f t="shared" si="739"/>
        <v>0</v>
      </c>
      <c r="EV172" s="735" t="str">
        <f t="shared" si="740"/>
        <v/>
      </c>
      <c r="EW172" s="741" t="str">
        <f t="shared" si="780"/>
        <v/>
      </c>
      <c r="EX172" s="743" t="str">
        <f t="shared" si="741"/>
        <v/>
      </c>
      <c r="EY172" s="33">
        <v>3</v>
      </c>
      <c r="EZ172" s="735" t="str">
        <f t="shared" si="742"/>
        <v/>
      </c>
      <c r="FA172" s="741" t="str">
        <f t="shared" si="781"/>
        <v/>
      </c>
      <c r="FB172" s="18">
        <f t="shared" si="782"/>
        <v>0</v>
      </c>
      <c r="FC172" s="735" t="str">
        <f t="shared" si="743"/>
        <v/>
      </c>
      <c r="FD172" s="734" t="str">
        <f t="shared" si="783"/>
        <v/>
      </c>
      <c r="FE172" s="1477">
        <f t="shared" ref="FE172:FE194" si="808">FH172+FK172+FO172+FS172+FW172+GA172+GE172+GI172+GM172+GQ172+GU172+GY172+HC172+HG172+HK172+HO172+HS172+HW172+IA172+IE172+II172+IM172+IQ172+IU172+IY172</f>
        <v>0</v>
      </c>
      <c r="FF172" s="275" t="str">
        <f t="shared" si="744"/>
        <v/>
      </c>
      <c r="FG172" s="145" t="str">
        <f t="shared" si="745"/>
        <v/>
      </c>
      <c r="FH172" s="726">
        <f t="shared" si="746"/>
        <v>0</v>
      </c>
      <c r="FI172" s="718"/>
      <c r="FJ172" s="701" t="str">
        <f t="shared" si="784"/>
        <v/>
      </c>
      <c r="FK172" s="66">
        <f t="shared" si="747"/>
        <v>0</v>
      </c>
      <c r="FL172" s="717"/>
      <c r="FM172" s="716"/>
      <c r="FN172" s="701" t="str">
        <f t="shared" si="785"/>
        <v/>
      </c>
      <c r="FO172" s="66">
        <f t="shared" si="748"/>
        <v>0</v>
      </c>
      <c r="FP172" s="717"/>
      <c r="FQ172" s="716"/>
      <c r="FR172" s="701" t="str">
        <f t="shared" si="786"/>
        <v/>
      </c>
      <c r="FS172" s="66">
        <f t="shared" si="749"/>
        <v>0</v>
      </c>
      <c r="FT172" s="717"/>
      <c r="FU172" s="716"/>
      <c r="FV172" s="701" t="str">
        <f t="shared" si="787"/>
        <v/>
      </c>
      <c r="FW172" s="66">
        <f t="shared" si="750"/>
        <v>0</v>
      </c>
      <c r="FX172" s="717"/>
      <c r="FY172" s="716"/>
      <c r="FZ172" s="701" t="str">
        <f t="shared" si="788"/>
        <v/>
      </c>
      <c r="GA172" s="66">
        <f t="shared" si="751"/>
        <v>0</v>
      </c>
      <c r="GB172" s="717"/>
      <c r="GC172" s="716"/>
      <c r="GD172" s="701" t="str">
        <f t="shared" si="789"/>
        <v/>
      </c>
      <c r="GE172" s="66">
        <f t="shared" si="752"/>
        <v>0</v>
      </c>
      <c r="GF172" s="717"/>
      <c r="GG172" s="716"/>
      <c r="GH172" s="701" t="str">
        <f t="shared" si="790"/>
        <v/>
      </c>
      <c r="GI172" s="66">
        <f t="shared" si="753"/>
        <v>0</v>
      </c>
      <c r="GJ172" s="717"/>
      <c r="GK172" s="716"/>
      <c r="GL172" s="701" t="str">
        <f t="shared" si="791"/>
        <v/>
      </c>
      <c r="GM172" s="66">
        <f t="shared" si="754"/>
        <v>0</v>
      </c>
      <c r="GN172" s="717"/>
      <c r="GO172" s="716"/>
      <c r="GP172" s="701" t="str">
        <f t="shared" si="792"/>
        <v/>
      </c>
      <c r="GQ172" s="66">
        <f t="shared" si="755"/>
        <v>0</v>
      </c>
      <c r="GR172" s="717"/>
      <c r="GS172" s="716"/>
      <c r="GT172" s="701" t="str">
        <f t="shared" si="793"/>
        <v/>
      </c>
      <c r="GU172" s="66">
        <f t="shared" si="756"/>
        <v>0</v>
      </c>
      <c r="GV172" s="717"/>
      <c r="GW172" s="716"/>
      <c r="GX172" s="701" t="str">
        <f t="shared" si="794"/>
        <v/>
      </c>
      <c r="GY172" s="66">
        <f t="shared" si="757"/>
        <v>0</v>
      </c>
      <c r="GZ172" s="717"/>
      <c r="HA172" s="716"/>
      <c r="HB172" s="701" t="str">
        <f t="shared" si="795"/>
        <v/>
      </c>
      <c r="HC172" s="66">
        <f t="shared" si="758"/>
        <v>0</v>
      </c>
      <c r="HD172" s="717"/>
      <c r="HE172" s="716"/>
      <c r="HF172" s="701" t="str">
        <f t="shared" si="796"/>
        <v/>
      </c>
      <c r="HG172" s="66">
        <f t="shared" si="759"/>
        <v>0</v>
      </c>
      <c r="HH172" s="717"/>
      <c r="HI172" s="716"/>
      <c r="HJ172" s="701" t="str">
        <f t="shared" si="797"/>
        <v/>
      </c>
      <c r="HK172" s="66">
        <f t="shared" si="760"/>
        <v>0</v>
      </c>
      <c r="HL172" s="717"/>
      <c r="HM172" s="716"/>
      <c r="HN172" s="701" t="str">
        <f t="shared" si="798"/>
        <v/>
      </c>
      <c r="HO172" s="66">
        <f t="shared" si="761"/>
        <v>0</v>
      </c>
      <c r="HP172" s="717"/>
      <c r="HQ172" s="716"/>
      <c r="HR172" s="701" t="str">
        <f t="shared" si="799"/>
        <v/>
      </c>
      <c r="HS172" s="66">
        <f t="shared" si="762"/>
        <v>0</v>
      </c>
      <c r="HT172" s="717"/>
      <c r="HU172" s="716"/>
      <c r="HV172" s="701" t="str">
        <f t="shared" si="800"/>
        <v/>
      </c>
      <c r="HW172" s="66">
        <f t="shared" si="763"/>
        <v>0</v>
      </c>
      <c r="HX172" s="717"/>
      <c r="HY172" s="716"/>
      <c r="HZ172" s="701" t="str">
        <f t="shared" si="801"/>
        <v/>
      </c>
      <c r="IA172" s="66">
        <f t="shared" si="764"/>
        <v>0</v>
      </c>
      <c r="IB172" s="717"/>
      <c r="IC172" s="716"/>
      <c r="ID172" s="701" t="str">
        <f t="shared" si="802"/>
        <v/>
      </c>
      <c r="IE172" s="66">
        <f t="shared" si="765"/>
        <v>0</v>
      </c>
      <c r="IF172" s="717"/>
      <c r="IG172" s="716"/>
      <c r="IH172" s="701" t="str">
        <f t="shared" si="803"/>
        <v/>
      </c>
      <c r="II172" s="66">
        <f t="shared" si="766"/>
        <v>0</v>
      </c>
      <c r="IJ172" s="717"/>
      <c r="IK172" s="716"/>
      <c r="IL172" s="701" t="str">
        <f t="shared" si="804"/>
        <v/>
      </c>
      <c r="IM172" s="66">
        <f t="shared" si="767"/>
        <v>0</v>
      </c>
      <c r="IN172" s="717"/>
      <c r="IO172" s="716"/>
      <c r="IP172" s="701" t="str">
        <f t="shared" si="805"/>
        <v/>
      </c>
      <c r="IQ172" s="66">
        <f t="shared" si="768"/>
        <v>0</v>
      </c>
      <c r="IR172" s="717"/>
      <c r="IS172" s="716"/>
      <c r="IT172" s="701" t="str">
        <f t="shared" si="806"/>
        <v/>
      </c>
      <c r="IU172" s="66">
        <f t="shared" si="769"/>
        <v>0</v>
      </c>
      <c r="IV172" s="717"/>
      <c r="IW172" s="716"/>
      <c r="IX172" s="701" t="str">
        <f t="shared" si="807"/>
        <v/>
      </c>
      <c r="IY172" s="66">
        <f t="shared" si="770"/>
        <v>0</v>
      </c>
    </row>
    <row r="173" spans="44:259" ht="13.3" thickTop="1" thickBot="1" x14ac:dyDescent="0.35">
      <c r="AR173" s="1"/>
      <c r="AS173" s="1"/>
      <c r="AX173" s="2"/>
      <c r="DX173" s="1047" t="str">
        <f t="shared" si="771"/>
        <v/>
      </c>
      <c r="DY173" s="1019" t="str">
        <f t="shared" si="772"/>
        <v/>
      </c>
      <c r="DZ173" s="1018" t="str">
        <f t="shared" si="773"/>
        <v/>
      </c>
      <c r="EA173" s="1018" t="str">
        <f t="shared" si="774"/>
        <v/>
      </c>
      <c r="EB173" s="1022" t="str">
        <f t="shared" si="775"/>
        <v/>
      </c>
      <c r="EC173" s="1020" t="str">
        <f t="shared" si="776"/>
        <v/>
      </c>
      <c r="ED173" s="1017" t="str">
        <f t="shared" si="777"/>
        <v/>
      </c>
      <c r="EE173" s="1021" t="str">
        <f t="shared" si="778"/>
        <v/>
      </c>
      <c r="EF173" s="1029" t="str">
        <f>DO28</f>
        <v/>
      </c>
      <c r="EG173" s="1028">
        <v>4</v>
      </c>
      <c r="EH173" s="1026" t="str">
        <f t="shared" si="733"/>
        <v/>
      </c>
      <c r="EI173" s="1026" t="str">
        <f t="shared" si="733"/>
        <v/>
      </c>
      <c r="EJ173" s="33"/>
      <c r="EM173" s="750" t="str">
        <f t="shared" si="734"/>
        <v/>
      </c>
      <c r="EN173" s="58" t="str">
        <f t="shared" si="735"/>
        <v/>
      </c>
      <c r="EO173" s="748" t="str">
        <f t="shared" si="736"/>
        <v/>
      </c>
      <c r="EP173" s="751" t="str">
        <f>IF(OR(EN173="",EN173=0),"",IF($EO173&gt;'Quadro 1'!$G$23,'Quadro 1'!$G$23,IF($EO173&lt;'Quadro 1'!$G$10,'Quadro 1'!$G$10,EO173)))</f>
        <v/>
      </c>
      <c r="EQ173" s="33"/>
      <c r="ER173" s="735" t="str">
        <f t="shared" si="737"/>
        <v>Crítico</v>
      </c>
      <c r="ES173" s="741">
        <f t="shared" si="779"/>
        <v>1</v>
      </c>
      <c r="ET173" s="736" t="str">
        <f t="shared" si="738"/>
        <v/>
      </c>
      <c r="EU173" s="33">
        <f t="shared" si="739"/>
        <v>0</v>
      </c>
      <c r="EV173" s="735" t="str">
        <f t="shared" si="740"/>
        <v/>
      </c>
      <c r="EW173" s="741" t="str">
        <f t="shared" si="780"/>
        <v/>
      </c>
      <c r="EX173" s="743" t="str">
        <f t="shared" si="741"/>
        <v/>
      </c>
      <c r="EY173" s="33">
        <v>4</v>
      </c>
      <c r="EZ173" s="735" t="str">
        <f t="shared" si="742"/>
        <v/>
      </c>
      <c r="FA173" s="741" t="str">
        <f t="shared" si="781"/>
        <v/>
      </c>
      <c r="FB173" s="18">
        <f t="shared" si="782"/>
        <v>0</v>
      </c>
      <c r="FC173" s="735" t="str">
        <f t="shared" si="743"/>
        <v/>
      </c>
      <c r="FD173" s="734" t="str">
        <f t="shared" si="783"/>
        <v/>
      </c>
      <c r="FE173" s="1477">
        <f t="shared" si="808"/>
        <v>0</v>
      </c>
      <c r="FF173" s="275" t="str">
        <f t="shared" si="744"/>
        <v/>
      </c>
      <c r="FG173" s="145" t="str">
        <f t="shared" si="745"/>
        <v/>
      </c>
      <c r="FH173" s="726">
        <f t="shared" si="746"/>
        <v>0</v>
      </c>
      <c r="FI173" s="718"/>
      <c r="FJ173" s="701" t="str">
        <f t="shared" si="784"/>
        <v/>
      </c>
      <c r="FK173" s="66">
        <f t="shared" si="747"/>
        <v>0</v>
      </c>
      <c r="FL173" s="717"/>
      <c r="FM173" s="716"/>
      <c r="FN173" s="701" t="str">
        <f t="shared" si="785"/>
        <v/>
      </c>
      <c r="FO173" s="66">
        <f t="shared" si="748"/>
        <v>0</v>
      </c>
      <c r="FP173" s="717"/>
      <c r="FQ173" s="716"/>
      <c r="FR173" s="701" t="str">
        <f t="shared" si="786"/>
        <v/>
      </c>
      <c r="FS173" s="66">
        <f t="shared" si="749"/>
        <v>0</v>
      </c>
      <c r="FT173" s="717"/>
      <c r="FU173" s="716"/>
      <c r="FV173" s="701" t="str">
        <f t="shared" si="787"/>
        <v/>
      </c>
      <c r="FW173" s="66">
        <f t="shared" si="750"/>
        <v>0</v>
      </c>
      <c r="FX173" s="717"/>
      <c r="FY173" s="716"/>
      <c r="FZ173" s="701" t="str">
        <f t="shared" si="788"/>
        <v/>
      </c>
      <c r="GA173" s="66">
        <f t="shared" si="751"/>
        <v>0</v>
      </c>
      <c r="GB173" s="717"/>
      <c r="GC173" s="716"/>
      <c r="GD173" s="701" t="str">
        <f t="shared" si="789"/>
        <v/>
      </c>
      <c r="GE173" s="66">
        <f t="shared" si="752"/>
        <v>0</v>
      </c>
      <c r="GF173" s="717"/>
      <c r="GG173" s="716"/>
      <c r="GH173" s="701" t="str">
        <f t="shared" si="790"/>
        <v/>
      </c>
      <c r="GI173" s="66">
        <f t="shared" si="753"/>
        <v>0</v>
      </c>
      <c r="GJ173" s="717"/>
      <c r="GK173" s="716"/>
      <c r="GL173" s="701" t="str">
        <f t="shared" si="791"/>
        <v/>
      </c>
      <c r="GM173" s="66">
        <f t="shared" si="754"/>
        <v>0</v>
      </c>
      <c r="GN173" s="717"/>
      <c r="GO173" s="716"/>
      <c r="GP173" s="701" t="str">
        <f t="shared" si="792"/>
        <v/>
      </c>
      <c r="GQ173" s="66">
        <f t="shared" si="755"/>
        <v>0</v>
      </c>
      <c r="GR173" s="717"/>
      <c r="GS173" s="716"/>
      <c r="GT173" s="701" t="str">
        <f t="shared" si="793"/>
        <v/>
      </c>
      <c r="GU173" s="66">
        <f t="shared" si="756"/>
        <v>0</v>
      </c>
      <c r="GV173" s="717"/>
      <c r="GW173" s="716"/>
      <c r="GX173" s="701" t="str">
        <f t="shared" si="794"/>
        <v/>
      </c>
      <c r="GY173" s="66">
        <f t="shared" si="757"/>
        <v>0</v>
      </c>
      <c r="GZ173" s="717"/>
      <c r="HA173" s="716"/>
      <c r="HB173" s="701" t="str">
        <f t="shared" si="795"/>
        <v/>
      </c>
      <c r="HC173" s="66">
        <f t="shared" si="758"/>
        <v>0</v>
      </c>
      <c r="HD173" s="717"/>
      <c r="HE173" s="716"/>
      <c r="HF173" s="701" t="str">
        <f t="shared" si="796"/>
        <v/>
      </c>
      <c r="HG173" s="66">
        <f t="shared" si="759"/>
        <v>0</v>
      </c>
      <c r="HH173" s="717"/>
      <c r="HI173" s="716"/>
      <c r="HJ173" s="701" t="str">
        <f t="shared" si="797"/>
        <v/>
      </c>
      <c r="HK173" s="66">
        <f t="shared" si="760"/>
        <v>0</v>
      </c>
      <c r="HL173" s="717"/>
      <c r="HM173" s="716"/>
      <c r="HN173" s="701" t="str">
        <f t="shared" si="798"/>
        <v/>
      </c>
      <c r="HO173" s="66">
        <f t="shared" si="761"/>
        <v>0</v>
      </c>
      <c r="HP173" s="717"/>
      <c r="HQ173" s="716"/>
      <c r="HR173" s="701" t="str">
        <f t="shared" si="799"/>
        <v/>
      </c>
      <c r="HS173" s="66">
        <f t="shared" si="762"/>
        <v>0</v>
      </c>
      <c r="HT173" s="717"/>
      <c r="HU173" s="716"/>
      <c r="HV173" s="701" t="str">
        <f t="shared" si="800"/>
        <v/>
      </c>
      <c r="HW173" s="66">
        <f t="shared" si="763"/>
        <v>0</v>
      </c>
      <c r="HX173" s="717"/>
      <c r="HY173" s="716"/>
      <c r="HZ173" s="701" t="str">
        <f t="shared" si="801"/>
        <v/>
      </c>
      <c r="IA173" s="66">
        <f t="shared" si="764"/>
        <v>0</v>
      </c>
      <c r="IB173" s="717"/>
      <c r="IC173" s="716"/>
      <c r="ID173" s="701" t="str">
        <f t="shared" si="802"/>
        <v/>
      </c>
      <c r="IE173" s="66">
        <f t="shared" si="765"/>
        <v>0</v>
      </c>
      <c r="IF173" s="717"/>
      <c r="IG173" s="716"/>
      <c r="IH173" s="701" t="str">
        <f t="shared" si="803"/>
        <v/>
      </c>
      <c r="II173" s="66">
        <f t="shared" si="766"/>
        <v>0</v>
      </c>
      <c r="IJ173" s="717"/>
      <c r="IK173" s="716"/>
      <c r="IL173" s="701" t="str">
        <f t="shared" si="804"/>
        <v/>
      </c>
      <c r="IM173" s="66">
        <f t="shared" si="767"/>
        <v>0</v>
      </c>
      <c r="IN173" s="717"/>
      <c r="IO173" s="716"/>
      <c r="IP173" s="701" t="str">
        <f t="shared" si="805"/>
        <v/>
      </c>
      <c r="IQ173" s="66">
        <f t="shared" si="768"/>
        <v>0</v>
      </c>
      <c r="IR173" s="717"/>
      <c r="IS173" s="716"/>
      <c r="IT173" s="701" t="str">
        <f t="shared" si="806"/>
        <v/>
      </c>
      <c r="IU173" s="66">
        <f t="shared" si="769"/>
        <v>0</v>
      </c>
      <c r="IV173" s="717"/>
      <c r="IW173" s="716"/>
      <c r="IX173" s="701" t="str">
        <f t="shared" si="807"/>
        <v/>
      </c>
      <c r="IY173" s="66">
        <f t="shared" si="770"/>
        <v>0</v>
      </c>
    </row>
    <row r="174" spans="44:259" ht="13.3" thickTop="1" thickBot="1" x14ac:dyDescent="0.35">
      <c r="AR174" s="1"/>
      <c r="AS174" s="1"/>
      <c r="AX174" s="2"/>
      <c r="DX174" s="1047" t="str">
        <f t="shared" si="771"/>
        <v/>
      </c>
      <c r="DY174" s="1019" t="str">
        <f t="shared" si="772"/>
        <v/>
      </c>
      <c r="DZ174" s="1018" t="str">
        <f t="shared" si="773"/>
        <v/>
      </c>
      <c r="EA174" s="1018" t="str">
        <f t="shared" si="774"/>
        <v/>
      </c>
      <c r="EB174" s="1022" t="str">
        <f t="shared" si="775"/>
        <v/>
      </c>
      <c r="EC174" s="1020" t="str">
        <f t="shared" si="776"/>
        <v/>
      </c>
      <c r="ED174" s="1017" t="str">
        <f t="shared" si="777"/>
        <v/>
      </c>
      <c r="EE174" s="1021" t="str">
        <f t="shared" si="778"/>
        <v/>
      </c>
      <c r="EF174" s="1029" t="str">
        <f t="shared" ref="EF174:EF194" si="809">DO29</f>
        <v/>
      </c>
      <c r="EG174" s="1028">
        <v>5</v>
      </c>
      <c r="EH174" s="1026" t="str">
        <f t="shared" ref="EH174:EH194" si="810">DQ29</f>
        <v/>
      </c>
      <c r="EI174" s="1026" t="str">
        <f t="shared" ref="EI174:EI194" si="811">DR29</f>
        <v/>
      </c>
      <c r="EJ174" s="33"/>
      <c r="EM174" s="750" t="str">
        <f t="shared" si="734"/>
        <v/>
      </c>
      <c r="EN174" s="58" t="str">
        <f t="shared" si="735"/>
        <v/>
      </c>
      <c r="EO174" s="748" t="str">
        <f t="shared" si="736"/>
        <v/>
      </c>
      <c r="EP174" s="751" t="str">
        <f>IF(OR(EN174="",EN174=0),"",IF($EO174&gt;'Quadro 1'!$G$23,'Quadro 1'!$G$23,IF($EO174&lt;'Quadro 1'!$G$10,'Quadro 1'!$G$10,EO174)))</f>
        <v/>
      </c>
      <c r="EQ174" s="33"/>
      <c r="ER174" s="735" t="str">
        <f t="shared" si="737"/>
        <v>Crítico</v>
      </c>
      <c r="ES174" s="741">
        <f t="shared" si="779"/>
        <v>1</v>
      </c>
      <c r="ET174" s="736" t="str">
        <f t="shared" si="738"/>
        <v/>
      </c>
      <c r="EU174" s="33">
        <f t="shared" si="739"/>
        <v>0</v>
      </c>
      <c r="EV174" s="735" t="str">
        <f t="shared" si="740"/>
        <v/>
      </c>
      <c r="EW174" s="741" t="str">
        <f t="shared" si="780"/>
        <v/>
      </c>
      <c r="EX174" s="743" t="str">
        <f t="shared" si="741"/>
        <v/>
      </c>
      <c r="EY174" s="33">
        <v>5</v>
      </c>
      <c r="EZ174" s="735" t="str">
        <f t="shared" si="742"/>
        <v/>
      </c>
      <c r="FA174" s="741" t="str">
        <f t="shared" si="781"/>
        <v/>
      </c>
      <c r="FB174" s="18">
        <f t="shared" si="782"/>
        <v>0</v>
      </c>
      <c r="FC174" s="735" t="str">
        <f t="shared" si="743"/>
        <v/>
      </c>
      <c r="FD174" s="734" t="str">
        <f t="shared" si="783"/>
        <v/>
      </c>
      <c r="FE174" s="1477">
        <f t="shared" si="808"/>
        <v>0</v>
      </c>
      <c r="FF174" s="275" t="str">
        <f t="shared" si="744"/>
        <v/>
      </c>
      <c r="FG174" s="145" t="str">
        <f t="shared" si="745"/>
        <v/>
      </c>
      <c r="FH174" s="726">
        <f t="shared" si="746"/>
        <v>0</v>
      </c>
      <c r="FI174" s="718"/>
      <c r="FJ174" s="701" t="str">
        <f t="shared" si="784"/>
        <v/>
      </c>
      <c r="FK174" s="66">
        <f t="shared" si="747"/>
        <v>0</v>
      </c>
      <c r="FL174" s="717"/>
      <c r="FM174" s="716"/>
      <c r="FN174" s="701" t="str">
        <f t="shared" si="785"/>
        <v/>
      </c>
      <c r="FO174" s="66">
        <f t="shared" si="748"/>
        <v>0</v>
      </c>
      <c r="FP174" s="717"/>
      <c r="FQ174" s="716"/>
      <c r="FR174" s="701" t="str">
        <f t="shared" si="786"/>
        <v/>
      </c>
      <c r="FS174" s="66">
        <f t="shared" si="749"/>
        <v>0</v>
      </c>
      <c r="FT174" s="717"/>
      <c r="FU174" s="716"/>
      <c r="FV174" s="701" t="str">
        <f t="shared" si="787"/>
        <v/>
      </c>
      <c r="FW174" s="66">
        <f t="shared" si="750"/>
        <v>0</v>
      </c>
      <c r="FX174" s="717"/>
      <c r="FY174" s="716"/>
      <c r="FZ174" s="701" t="str">
        <f t="shared" si="788"/>
        <v/>
      </c>
      <c r="GA174" s="66">
        <f t="shared" si="751"/>
        <v>0</v>
      </c>
      <c r="GB174" s="717"/>
      <c r="GC174" s="716"/>
      <c r="GD174" s="701" t="str">
        <f t="shared" si="789"/>
        <v/>
      </c>
      <c r="GE174" s="66">
        <f t="shared" si="752"/>
        <v>0</v>
      </c>
      <c r="GF174" s="717"/>
      <c r="GG174" s="716"/>
      <c r="GH174" s="701" t="str">
        <f t="shared" si="790"/>
        <v/>
      </c>
      <c r="GI174" s="66">
        <f t="shared" si="753"/>
        <v>0</v>
      </c>
      <c r="GJ174" s="717"/>
      <c r="GK174" s="716"/>
      <c r="GL174" s="701" t="str">
        <f t="shared" si="791"/>
        <v/>
      </c>
      <c r="GM174" s="66">
        <f t="shared" si="754"/>
        <v>0</v>
      </c>
      <c r="GN174" s="717"/>
      <c r="GO174" s="716"/>
      <c r="GP174" s="701" t="str">
        <f t="shared" si="792"/>
        <v/>
      </c>
      <c r="GQ174" s="66">
        <f t="shared" si="755"/>
        <v>0</v>
      </c>
      <c r="GR174" s="717"/>
      <c r="GS174" s="716"/>
      <c r="GT174" s="701" t="str">
        <f t="shared" si="793"/>
        <v/>
      </c>
      <c r="GU174" s="66">
        <f t="shared" si="756"/>
        <v>0</v>
      </c>
      <c r="GV174" s="717"/>
      <c r="GW174" s="716"/>
      <c r="GX174" s="701" t="str">
        <f t="shared" si="794"/>
        <v/>
      </c>
      <c r="GY174" s="66">
        <f t="shared" si="757"/>
        <v>0</v>
      </c>
      <c r="GZ174" s="717"/>
      <c r="HA174" s="716"/>
      <c r="HB174" s="701" t="str">
        <f t="shared" si="795"/>
        <v/>
      </c>
      <c r="HC174" s="66">
        <f t="shared" si="758"/>
        <v>0</v>
      </c>
      <c r="HD174" s="717"/>
      <c r="HE174" s="716"/>
      <c r="HF174" s="701" t="str">
        <f t="shared" si="796"/>
        <v/>
      </c>
      <c r="HG174" s="66">
        <f t="shared" si="759"/>
        <v>0</v>
      </c>
      <c r="HH174" s="717"/>
      <c r="HI174" s="716"/>
      <c r="HJ174" s="701" t="str">
        <f t="shared" si="797"/>
        <v/>
      </c>
      <c r="HK174" s="66">
        <f t="shared" si="760"/>
        <v>0</v>
      </c>
      <c r="HL174" s="717"/>
      <c r="HM174" s="716"/>
      <c r="HN174" s="701" t="str">
        <f t="shared" si="798"/>
        <v/>
      </c>
      <c r="HO174" s="66">
        <f t="shared" si="761"/>
        <v>0</v>
      </c>
      <c r="HP174" s="717"/>
      <c r="HQ174" s="716"/>
      <c r="HR174" s="701" t="str">
        <f t="shared" si="799"/>
        <v/>
      </c>
      <c r="HS174" s="66">
        <f t="shared" si="762"/>
        <v>0</v>
      </c>
      <c r="HT174" s="717"/>
      <c r="HU174" s="716"/>
      <c r="HV174" s="701" t="str">
        <f t="shared" si="800"/>
        <v/>
      </c>
      <c r="HW174" s="66">
        <f t="shared" si="763"/>
        <v>0</v>
      </c>
      <c r="HX174" s="717"/>
      <c r="HY174" s="716"/>
      <c r="HZ174" s="701" t="str">
        <f t="shared" si="801"/>
        <v/>
      </c>
      <c r="IA174" s="66">
        <f t="shared" si="764"/>
        <v>0</v>
      </c>
      <c r="IB174" s="717"/>
      <c r="IC174" s="716"/>
      <c r="ID174" s="701" t="str">
        <f t="shared" si="802"/>
        <v/>
      </c>
      <c r="IE174" s="66">
        <f t="shared" si="765"/>
        <v>0</v>
      </c>
      <c r="IF174" s="717"/>
      <c r="IG174" s="716"/>
      <c r="IH174" s="701" t="str">
        <f t="shared" si="803"/>
        <v/>
      </c>
      <c r="II174" s="66">
        <f t="shared" si="766"/>
        <v>0</v>
      </c>
      <c r="IJ174" s="717"/>
      <c r="IK174" s="716"/>
      <c r="IL174" s="701" t="str">
        <f t="shared" si="804"/>
        <v/>
      </c>
      <c r="IM174" s="66">
        <f t="shared" si="767"/>
        <v>0</v>
      </c>
      <c r="IN174" s="717"/>
      <c r="IO174" s="716"/>
      <c r="IP174" s="701" t="str">
        <f t="shared" si="805"/>
        <v/>
      </c>
      <c r="IQ174" s="66">
        <f t="shared" si="768"/>
        <v>0</v>
      </c>
      <c r="IR174" s="717"/>
      <c r="IS174" s="716"/>
      <c r="IT174" s="701" t="str">
        <f t="shared" si="806"/>
        <v/>
      </c>
      <c r="IU174" s="66">
        <f t="shared" si="769"/>
        <v>0</v>
      </c>
      <c r="IV174" s="717"/>
      <c r="IW174" s="716"/>
      <c r="IX174" s="701" t="str">
        <f t="shared" si="807"/>
        <v/>
      </c>
      <c r="IY174" s="66">
        <f t="shared" si="770"/>
        <v>0</v>
      </c>
    </row>
    <row r="175" spans="44:259" ht="13.3" thickTop="1" thickBot="1" x14ac:dyDescent="0.35">
      <c r="AR175" s="1"/>
      <c r="AS175" s="1"/>
      <c r="AX175" s="2"/>
      <c r="DX175" s="1047" t="str">
        <f t="shared" si="771"/>
        <v/>
      </c>
      <c r="DY175" s="1019" t="str">
        <f t="shared" si="772"/>
        <v/>
      </c>
      <c r="DZ175" s="1018" t="str">
        <f t="shared" si="773"/>
        <v/>
      </c>
      <c r="EA175" s="1018" t="str">
        <f t="shared" si="774"/>
        <v/>
      </c>
      <c r="EB175" s="1022" t="str">
        <f t="shared" si="775"/>
        <v/>
      </c>
      <c r="EC175" s="1020" t="str">
        <f t="shared" si="776"/>
        <v/>
      </c>
      <c r="ED175" s="1017" t="str">
        <f t="shared" si="777"/>
        <v/>
      </c>
      <c r="EE175" s="1021" t="str">
        <f t="shared" si="778"/>
        <v/>
      </c>
      <c r="EF175" s="1029" t="str">
        <f t="shared" si="809"/>
        <v/>
      </c>
      <c r="EG175" s="1028">
        <v>6</v>
      </c>
      <c r="EH175" s="1026" t="str">
        <f t="shared" si="810"/>
        <v/>
      </c>
      <c r="EI175" s="1026" t="str">
        <f t="shared" si="811"/>
        <v/>
      </c>
      <c r="EJ175" s="33"/>
      <c r="EM175" s="750" t="str">
        <f t="shared" si="734"/>
        <v/>
      </c>
      <c r="EN175" s="58" t="str">
        <f t="shared" si="735"/>
        <v/>
      </c>
      <c r="EO175" s="748" t="str">
        <f t="shared" si="736"/>
        <v/>
      </c>
      <c r="EP175" s="751" t="str">
        <f>IF(OR(EN175="",EN175=0),"",IF($EO175&gt;'Quadro 1'!$G$23,'Quadro 1'!$G$23,IF($EO175&lt;'Quadro 1'!$G$10,'Quadro 1'!$G$10,EO175)))</f>
        <v/>
      </c>
      <c r="EQ175" s="33"/>
      <c r="ER175" s="735" t="str">
        <f t="shared" si="737"/>
        <v>Crítico</v>
      </c>
      <c r="ES175" s="741">
        <f t="shared" si="779"/>
        <v>1</v>
      </c>
      <c r="ET175" s="736" t="str">
        <f t="shared" si="738"/>
        <v/>
      </c>
      <c r="EU175" s="33">
        <f t="shared" si="739"/>
        <v>0</v>
      </c>
      <c r="EV175" s="735" t="str">
        <f t="shared" si="740"/>
        <v/>
      </c>
      <c r="EW175" s="741" t="str">
        <f t="shared" si="780"/>
        <v/>
      </c>
      <c r="EX175" s="743" t="str">
        <f t="shared" si="741"/>
        <v/>
      </c>
      <c r="EY175" s="33">
        <v>6</v>
      </c>
      <c r="EZ175" s="735" t="str">
        <f t="shared" si="742"/>
        <v/>
      </c>
      <c r="FA175" s="741" t="str">
        <f t="shared" si="781"/>
        <v/>
      </c>
      <c r="FB175" s="18">
        <f t="shared" si="782"/>
        <v>0</v>
      </c>
      <c r="FC175" s="735" t="str">
        <f t="shared" si="743"/>
        <v/>
      </c>
      <c r="FD175" s="734" t="str">
        <f t="shared" si="783"/>
        <v/>
      </c>
      <c r="FE175" s="1477">
        <f t="shared" si="808"/>
        <v>0</v>
      </c>
      <c r="FF175" s="275" t="str">
        <f t="shared" si="744"/>
        <v/>
      </c>
      <c r="FG175" s="145" t="str">
        <f t="shared" si="745"/>
        <v/>
      </c>
      <c r="FH175" s="726">
        <f t="shared" si="746"/>
        <v>0</v>
      </c>
      <c r="FI175" s="718"/>
      <c r="FJ175" s="701" t="str">
        <f t="shared" si="784"/>
        <v/>
      </c>
      <c r="FK175" s="66">
        <f t="shared" si="747"/>
        <v>0</v>
      </c>
      <c r="FL175" s="717"/>
      <c r="FM175" s="716"/>
      <c r="FN175" s="701" t="str">
        <f t="shared" si="785"/>
        <v/>
      </c>
      <c r="FO175" s="66">
        <f t="shared" si="748"/>
        <v>0</v>
      </c>
      <c r="FP175" s="717"/>
      <c r="FQ175" s="716"/>
      <c r="FR175" s="701" t="str">
        <f t="shared" si="786"/>
        <v/>
      </c>
      <c r="FS175" s="66">
        <f t="shared" si="749"/>
        <v>0</v>
      </c>
      <c r="FT175" s="717"/>
      <c r="FU175" s="716"/>
      <c r="FV175" s="701" t="str">
        <f t="shared" si="787"/>
        <v/>
      </c>
      <c r="FW175" s="66">
        <f t="shared" si="750"/>
        <v>0</v>
      </c>
      <c r="FX175" s="717"/>
      <c r="FY175" s="716"/>
      <c r="FZ175" s="701" t="str">
        <f t="shared" si="788"/>
        <v/>
      </c>
      <c r="GA175" s="66">
        <f t="shared" si="751"/>
        <v>0</v>
      </c>
      <c r="GB175" s="717"/>
      <c r="GC175" s="716"/>
      <c r="GD175" s="701" t="str">
        <f t="shared" si="789"/>
        <v/>
      </c>
      <c r="GE175" s="66">
        <f t="shared" si="752"/>
        <v>0</v>
      </c>
      <c r="GF175" s="717"/>
      <c r="GG175" s="716"/>
      <c r="GH175" s="701" t="str">
        <f t="shared" si="790"/>
        <v/>
      </c>
      <c r="GI175" s="66">
        <f t="shared" si="753"/>
        <v>0</v>
      </c>
      <c r="GJ175" s="717"/>
      <c r="GK175" s="716"/>
      <c r="GL175" s="701" t="str">
        <f t="shared" si="791"/>
        <v/>
      </c>
      <c r="GM175" s="66">
        <f t="shared" si="754"/>
        <v>0</v>
      </c>
      <c r="GN175" s="717"/>
      <c r="GO175" s="716"/>
      <c r="GP175" s="701" t="str">
        <f t="shared" si="792"/>
        <v/>
      </c>
      <c r="GQ175" s="66">
        <f t="shared" si="755"/>
        <v>0</v>
      </c>
      <c r="GR175" s="717"/>
      <c r="GS175" s="716"/>
      <c r="GT175" s="701" t="str">
        <f t="shared" si="793"/>
        <v/>
      </c>
      <c r="GU175" s="66">
        <f t="shared" si="756"/>
        <v>0</v>
      </c>
      <c r="GV175" s="717"/>
      <c r="GW175" s="716"/>
      <c r="GX175" s="701" t="str">
        <f t="shared" si="794"/>
        <v/>
      </c>
      <c r="GY175" s="66">
        <f t="shared" si="757"/>
        <v>0</v>
      </c>
      <c r="GZ175" s="717"/>
      <c r="HA175" s="716"/>
      <c r="HB175" s="701" t="str">
        <f t="shared" si="795"/>
        <v/>
      </c>
      <c r="HC175" s="66">
        <f t="shared" si="758"/>
        <v>0</v>
      </c>
      <c r="HD175" s="717"/>
      <c r="HE175" s="716"/>
      <c r="HF175" s="701" t="str">
        <f t="shared" si="796"/>
        <v/>
      </c>
      <c r="HG175" s="66">
        <f t="shared" si="759"/>
        <v>0</v>
      </c>
      <c r="HH175" s="717"/>
      <c r="HI175" s="716"/>
      <c r="HJ175" s="701" t="str">
        <f t="shared" si="797"/>
        <v/>
      </c>
      <c r="HK175" s="66">
        <f t="shared" si="760"/>
        <v>0</v>
      </c>
      <c r="HL175" s="717"/>
      <c r="HM175" s="716"/>
      <c r="HN175" s="701" t="str">
        <f t="shared" si="798"/>
        <v/>
      </c>
      <c r="HO175" s="66">
        <f t="shared" si="761"/>
        <v>0</v>
      </c>
      <c r="HP175" s="717"/>
      <c r="HQ175" s="716"/>
      <c r="HR175" s="701" t="str">
        <f t="shared" si="799"/>
        <v/>
      </c>
      <c r="HS175" s="66">
        <f t="shared" si="762"/>
        <v>0</v>
      </c>
      <c r="HT175" s="717"/>
      <c r="HU175" s="716"/>
      <c r="HV175" s="701" t="str">
        <f t="shared" si="800"/>
        <v/>
      </c>
      <c r="HW175" s="66">
        <f t="shared" si="763"/>
        <v>0</v>
      </c>
      <c r="HX175" s="717"/>
      <c r="HY175" s="716"/>
      <c r="HZ175" s="701" t="str">
        <f t="shared" si="801"/>
        <v/>
      </c>
      <c r="IA175" s="66">
        <f t="shared" si="764"/>
        <v>0</v>
      </c>
      <c r="IB175" s="717"/>
      <c r="IC175" s="716"/>
      <c r="ID175" s="701" t="str">
        <f t="shared" si="802"/>
        <v/>
      </c>
      <c r="IE175" s="66">
        <f t="shared" si="765"/>
        <v>0</v>
      </c>
      <c r="IF175" s="717"/>
      <c r="IG175" s="716"/>
      <c r="IH175" s="701" t="str">
        <f t="shared" si="803"/>
        <v/>
      </c>
      <c r="II175" s="66">
        <f t="shared" si="766"/>
        <v>0</v>
      </c>
      <c r="IJ175" s="717"/>
      <c r="IK175" s="716"/>
      <c r="IL175" s="701" t="str">
        <f t="shared" si="804"/>
        <v/>
      </c>
      <c r="IM175" s="66">
        <f t="shared" si="767"/>
        <v>0</v>
      </c>
      <c r="IN175" s="717"/>
      <c r="IO175" s="716"/>
      <c r="IP175" s="701" t="str">
        <f t="shared" si="805"/>
        <v/>
      </c>
      <c r="IQ175" s="66">
        <f t="shared" si="768"/>
        <v>0</v>
      </c>
      <c r="IR175" s="717"/>
      <c r="IS175" s="716"/>
      <c r="IT175" s="701" t="str">
        <f t="shared" si="806"/>
        <v/>
      </c>
      <c r="IU175" s="66">
        <f t="shared" si="769"/>
        <v>0</v>
      </c>
      <c r="IV175" s="717"/>
      <c r="IW175" s="716"/>
      <c r="IX175" s="701" t="str">
        <f t="shared" si="807"/>
        <v/>
      </c>
      <c r="IY175" s="66">
        <f t="shared" si="770"/>
        <v>0</v>
      </c>
    </row>
    <row r="176" spans="44:259" ht="13.3" thickTop="1" thickBot="1" x14ac:dyDescent="0.35">
      <c r="AR176" s="1"/>
      <c r="AS176" s="1"/>
      <c r="AX176" s="2"/>
      <c r="DS176" s="33"/>
      <c r="DT176" s="33"/>
      <c r="DU176" s="33"/>
      <c r="DV176" s="33"/>
      <c r="DW176" s="33"/>
      <c r="DX176" s="1047" t="str">
        <f t="shared" si="771"/>
        <v/>
      </c>
      <c r="DY176" s="1019" t="str">
        <f t="shared" si="772"/>
        <v/>
      </c>
      <c r="DZ176" s="1018" t="str">
        <f t="shared" si="773"/>
        <v/>
      </c>
      <c r="EA176" s="1018" t="str">
        <f t="shared" si="774"/>
        <v/>
      </c>
      <c r="EB176" s="1022" t="str">
        <f t="shared" si="775"/>
        <v/>
      </c>
      <c r="EC176" s="1020" t="str">
        <f t="shared" si="776"/>
        <v/>
      </c>
      <c r="ED176" s="1017" t="str">
        <f t="shared" si="777"/>
        <v/>
      </c>
      <c r="EE176" s="1021" t="str">
        <f t="shared" si="778"/>
        <v/>
      </c>
      <c r="EF176" s="1029" t="str">
        <f t="shared" si="809"/>
        <v/>
      </c>
      <c r="EG176" s="1028">
        <v>7</v>
      </c>
      <c r="EH176" s="1026" t="str">
        <f t="shared" si="810"/>
        <v/>
      </c>
      <c r="EI176" s="1026" t="str">
        <f t="shared" si="811"/>
        <v/>
      </c>
      <c r="EJ176" s="33"/>
      <c r="EM176" s="750" t="str">
        <f t="shared" si="734"/>
        <v/>
      </c>
      <c r="EN176" s="58" t="str">
        <f t="shared" si="735"/>
        <v/>
      </c>
      <c r="EO176" s="748" t="str">
        <f t="shared" si="736"/>
        <v/>
      </c>
      <c r="EP176" s="751" t="str">
        <f>IF(OR(EN176="",EN176=0),"",IF($EO176&gt;'Quadro 1'!$G$23,'Quadro 1'!$G$23,IF($EO176&lt;'Quadro 1'!$G$10,'Quadro 1'!$G$10,EO176)))</f>
        <v/>
      </c>
      <c r="EQ176" s="33"/>
      <c r="ER176" s="735" t="str">
        <f t="shared" si="737"/>
        <v>Crítico</v>
      </c>
      <c r="ES176" s="741">
        <f t="shared" si="779"/>
        <v>1</v>
      </c>
      <c r="ET176" s="736" t="str">
        <f t="shared" si="738"/>
        <v/>
      </c>
      <c r="EU176" s="33">
        <f t="shared" si="739"/>
        <v>0</v>
      </c>
      <c r="EV176" s="735" t="str">
        <f t="shared" si="740"/>
        <v/>
      </c>
      <c r="EW176" s="741" t="str">
        <f t="shared" si="780"/>
        <v/>
      </c>
      <c r="EX176" s="743" t="str">
        <f t="shared" si="741"/>
        <v/>
      </c>
      <c r="EY176" s="33">
        <v>7</v>
      </c>
      <c r="EZ176" s="735" t="str">
        <f t="shared" si="742"/>
        <v/>
      </c>
      <c r="FA176" s="741" t="str">
        <f t="shared" si="781"/>
        <v/>
      </c>
      <c r="FB176" s="18">
        <f t="shared" si="782"/>
        <v>0</v>
      </c>
      <c r="FC176" s="735" t="str">
        <f t="shared" si="743"/>
        <v/>
      </c>
      <c r="FD176" s="734" t="str">
        <f t="shared" si="783"/>
        <v/>
      </c>
      <c r="FE176" s="1477">
        <f t="shared" si="808"/>
        <v>0</v>
      </c>
      <c r="FF176" s="275" t="str">
        <f t="shared" si="744"/>
        <v/>
      </c>
      <c r="FG176" s="145" t="str">
        <f t="shared" si="745"/>
        <v/>
      </c>
      <c r="FH176" s="726">
        <f t="shared" si="746"/>
        <v>0</v>
      </c>
      <c r="FI176" s="718"/>
      <c r="FJ176" s="701" t="str">
        <f t="shared" si="784"/>
        <v/>
      </c>
      <c r="FK176" s="66">
        <f t="shared" si="747"/>
        <v>0</v>
      </c>
      <c r="FL176" s="717"/>
      <c r="FM176" s="716"/>
      <c r="FN176" s="701" t="str">
        <f t="shared" si="785"/>
        <v/>
      </c>
      <c r="FO176" s="66">
        <f t="shared" si="748"/>
        <v>0</v>
      </c>
      <c r="FP176" s="717"/>
      <c r="FQ176" s="716"/>
      <c r="FR176" s="701" t="str">
        <f t="shared" si="786"/>
        <v/>
      </c>
      <c r="FS176" s="66">
        <f t="shared" si="749"/>
        <v>0</v>
      </c>
      <c r="FT176" s="717"/>
      <c r="FU176" s="716"/>
      <c r="FV176" s="701" t="str">
        <f t="shared" si="787"/>
        <v/>
      </c>
      <c r="FW176" s="66">
        <f t="shared" si="750"/>
        <v>0</v>
      </c>
      <c r="FX176" s="717"/>
      <c r="FY176" s="716"/>
      <c r="FZ176" s="701" t="str">
        <f t="shared" si="788"/>
        <v/>
      </c>
      <c r="GA176" s="66">
        <f t="shared" si="751"/>
        <v>0</v>
      </c>
      <c r="GB176" s="717"/>
      <c r="GC176" s="716"/>
      <c r="GD176" s="701" t="str">
        <f t="shared" si="789"/>
        <v/>
      </c>
      <c r="GE176" s="66">
        <f t="shared" si="752"/>
        <v>0</v>
      </c>
      <c r="GF176" s="717"/>
      <c r="GG176" s="716"/>
      <c r="GH176" s="701" t="str">
        <f t="shared" si="790"/>
        <v/>
      </c>
      <c r="GI176" s="66">
        <f t="shared" si="753"/>
        <v>0</v>
      </c>
      <c r="GJ176" s="717"/>
      <c r="GK176" s="716"/>
      <c r="GL176" s="701" t="str">
        <f t="shared" si="791"/>
        <v/>
      </c>
      <c r="GM176" s="66">
        <f t="shared" si="754"/>
        <v>0</v>
      </c>
      <c r="GN176" s="717"/>
      <c r="GO176" s="716"/>
      <c r="GP176" s="701" t="str">
        <f t="shared" si="792"/>
        <v/>
      </c>
      <c r="GQ176" s="66">
        <f t="shared" si="755"/>
        <v>0</v>
      </c>
      <c r="GR176" s="717"/>
      <c r="GS176" s="716"/>
      <c r="GT176" s="701" t="str">
        <f t="shared" si="793"/>
        <v/>
      </c>
      <c r="GU176" s="66">
        <f t="shared" si="756"/>
        <v>0</v>
      </c>
      <c r="GV176" s="717"/>
      <c r="GW176" s="716"/>
      <c r="GX176" s="701" t="str">
        <f t="shared" si="794"/>
        <v/>
      </c>
      <c r="GY176" s="66">
        <f t="shared" si="757"/>
        <v>0</v>
      </c>
      <c r="GZ176" s="717"/>
      <c r="HA176" s="716"/>
      <c r="HB176" s="701" t="str">
        <f t="shared" si="795"/>
        <v/>
      </c>
      <c r="HC176" s="66">
        <f t="shared" si="758"/>
        <v>0</v>
      </c>
      <c r="HD176" s="717"/>
      <c r="HE176" s="716"/>
      <c r="HF176" s="701" t="str">
        <f t="shared" si="796"/>
        <v/>
      </c>
      <c r="HG176" s="66">
        <f t="shared" si="759"/>
        <v>0</v>
      </c>
      <c r="HH176" s="717"/>
      <c r="HI176" s="716"/>
      <c r="HJ176" s="701" t="str">
        <f t="shared" si="797"/>
        <v/>
      </c>
      <c r="HK176" s="66">
        <f t="shared" si="760"/>
        <v>0</v>
      </c>
      <c r="HL176" s="717"/>
      <c r="HM176" s="716"/>
      <c r="HN176" s="701" t="str">
        <f t="shared" si="798"/>
        <v/>
      </c>
      <c r="HO176" s="66">
        <f t="shared" si="761"/>
        <v>0</v>
      </c>
      <c r="HP176" s="717"/>
      <c r="HQ176" s="716"/>
      <c r="HR176" s="701" t="str">
        <f t="shared" si="799"/>
        <v/>
      </c>
      <c r="HS176" s="66">
        <f t="shared" si="762"/>
        <v>0</v>
      </c>
      <c r="HT176" s="717"/>
      <c r="HU176" s="716"/>
      <c r="HV176" s="701" t="str">
        <f t="shared" si="800"/>
        <v/>
      </c>
      <c r="HW176" s="66">
        <f t="shared" si="763"/>
        <v>0</v>
      </c>
      <c r="HX176" s="717"/>
      <c r="HY176" s="716"/>
      <c r="HZ176" s="701" t="str">
        <f t="shared" si="801"/>
        <v/>
      </c>
      <c r="IA176" s="66">
        <f t="shared" si="764"/>
        <v>0</v>
      </c>
      <c r="IB176" s="717"/>
      <c r="IC176" s="716"/>
      <c r="ID176" s="701" t="str">
        <f t="shared" si="802"/>
        <v/>
      </c>
      <c r="IE176" s="66">
        <f t="shared" si="765"/>
        <v>0</v>
      </c>
      <c r="IF176" s="717"/>
      <c r="IG176" s="716"/>
      <c r="IH176" s="701" t="str">
        <f t="shared" si="803"/>
        <v/>
      </c>
      <c r="II176" s="66">
        <f t="shared" si="766"/>
        <v>0</v>
      </c>
      <c r="IJ176" s="717"/>
      <c r="IK176" s="716"/>
      <c r="IL176" s="701" t="str">
        <f t="shared" si="804"/>
        <v/>
      </c>
      <c r="IM176" s="66">
        <f t="shared" si="767"/>
        <v>0</v>
      </c>
      <c r="IN176" s="717"/>
      <c r="IO176" s="716"/>
      <c r="IP176" s="701" t="str">
        <f t="shared" si="805"/>
        <v/>
      </c>
      <c r="IQ176" s="66">
        <f t="shared" si="768"/>
        <v>0</v>
      </c>
      <c r="IR176" s="717"/>
      <c r="IS176" s="716"/>
      <c r="IT176" s="701" t="str">
        <f t="shared" si="806"/>
        <v/>
      </c>
      <c r="IU176" s="66">
        <f t="shared" si="769"/>
        <v>0</v>
      </c>
      <c r="IV176" s="717"/>
      <c r="IW176" s="716"/>
      <c r="IX176" s="701" t="str">
        <f t="shared" si="807"/>
        <v/>
      </c>
      <c r="IY176" s="66">
        <f t="shared" si="770"/>
        <v>0</v>
      </c>
    </row>
    <row r="177" spans="44:259" ht="13.3" thickTop="1" thickBot="1" x14ac:dyDescent="0.35">
      <c r="AR177" s="1"/>
      <c r="AS177" s="1"/>
      <c r="AX177" s="2"/>
      <c r="DS177" s="33"/>
      <c r="DT177" s="33"/>
      <c r="DU177" s="33"/>
      <c r="DV177" s="33"/>
      <c r="DW177" s="33"/>
      <c r="DX177" s="1047" t="str">
        <f t="shared" si="771"/>
        <v/>
      </c>
      <c r="DY177" s="1019" t="str">
        <f t="shared" si="772"/>
        <v/>
      </c>
      <c r="DZ177" s="1018" t="str">
        <f t="shared" si="773"/>
        <v/>
      </c>
      <c r="EA177" s="1018" t="str">
        <f t="shared" si="774"/>
        <v/>
      </c>
      <c r="EB177" s="1022" t="str">
        <f t="shared" si="775"/>
        <v/>
      </c>
      <c r="EC177" s="1020" t="str">
        <f t="shared" si="776"/>
        <v/>
      </c>
      <c r="ED177" s="1017" t="str">
        <f t="shared" si="777"/>
        <v/>
      </c>
      <c r="EE177" s="1021" t="str">
        <f t="shared" si="778"/>
        <v/>
      </c>
      <c r="EF177" s="1029" t="str">
        <f t="shared" si="809"/>
        <v/>
      </c>
      <c r="EG177" s="1028">
        <v>8</v>
      </c>
      <c r="EH177" s="1026" t="str">
        <f t="shared" si="810"/>
        <v/>
      </c>
      <c r="EI177" s="1026" t="str">
        <f t="shared" si="811"/>
        <v/>
      </c>
      <c r="EJ177" s="33"/>
      <c r="EM177" s="750" t="str">
        <f t="shared" si="734"/>
        <v/>
      </c>
      <c r="EN177" s="58" t="str">
        <f t="shared" si="735"/>
        <v/>
      </c>
      <c r="EO177" s="748" t="str">
        <f t="shared" si="736"/>
        <v/>
      </c>
      <c r="EP177" s="751" t="str">
        <f>IF(OR(EN177="",EN177=0),"",IF($EO177&gt;'Quadro 1'!$G$23,'Quadro 1'!$G$23,IF($EO177&lt;'Quadro 1'!$G$10,'Quadro 1'!$G$10,EO177)))</f>
        <v/>
      </c>
      <c r="EQ177" s="33"/>
      <c r="ER177" s="735" t="str">
        <f t="shared" si="737"/>
        <v>Crítico</v>
      </c>
      <c r="ES177" s="741">
        <f t="shared" si="779"/>
        <v>1</v>
      </c>
      <c r="ET177" s="736" t="str">
        <f t="shared" si="738"/>
        <v/>
      </c>
      <c r="EU177" s="33">
        <f t="shared" si="739"/>
        <v>0</v>
      </c>
      <c r="EV177" s="735" t="str">
        <f t="shared" si="740"/>
        <v/>
      </c>
      <c r="EW177" s="741" t="str">
        <f t="shared" si="780"/>
        <v/>
      </c>
      <c r="EX177" s="743" t="str">
        <f t="shared" si="741"/>
        <v/>
      </c>
      <c r="EY177" s="33">
        <v>8</v>
      </c>
      <c r="EZ177" s="735" t="str">
        <f t="shared" si="742"/>
        <v/>
      </c>
      <c r="FA177" s="741" t="str">
        <f t="shared" si="781"/>
        <v/>
      </c>
      <c r="FB177" s="18">
        <f t="shared" si="782"/>
        <v>0</v>
      </c>
      <c r="FC177" s="735" t="str">
        <f t="shared" si="743"/>
        <v/>
      </c>
      <c r="FD177" s="734" t="str">
        <f t="shared" si="783"/>
        <v/>
      </c>
      <c r="FE177" s="1477">
        <f t="shared" si="808"/>
        <v>0</v>
      </c>
      <c r="FF177" s="275" t="str">
        <f t="shared" si="744"/>
        <v/>
      </c>
      <c r="FG177" s="145" t="str">
        <f t="shared" si="745"/>
        <v/>
      </c>
      <c r="FH177" s="726">
        <f t="shared" si="746"/>
        <v>0</v>
      </c>
      <c r="FI177" s="718"/>
      <c r="FJ177" s="701" t="str">
        <f t="shared" si="784"/>
        <v/>
      </c>
      <c r="FK177" s="66">
        <f t="shared" si="747"/>
        <v>0</v>
      </c>
      <c r="FL177" s="717"/>
      <c r="FM177" s="716"/>
      <c r="FN177" s="701" t="str">
        <f t="shared" si="785"/>
        <v/>
      </c>
      <c r="FO177" s="66">
        <f t="shared" si="748"/>
        <v>0</v>
      </c>
      <c r="FP177" s="717"/>
      <c r="FQ177" s="716"/>
      <c r="FR177" s="701" t="str">
        <f t="shared" si="786"/>
        <v/>
      </c>
      <c r="FS177" s="66">
        <f t="shared" si="749"/>
        <v>0</v>
      </c>
      <c r="FT177" s="717"/>
      <c r="FU177" s="716"/>
      <c r="FV177" s="701" t="str">
        <f t="shared" si="787"/>
        <v/>
      </c>
      <c r="FW177" s="66">
        <f t="shared" si="750"/>
        <v>0</v>
      </c>
      <c r="FX177" s="717"/>
      <c r="FY177" s="716"/>
      <c r="FZ177" s="701" t="str">
        <f t="shared" si="788"/>
        <v/>
      </c>
      <c r="GA177" s="66">
        <f t="shared" si="751"/>
        <v>0</v>
      </c>
      <c r="GB177" s="717"/>
      <c r="GC177" s="716"/>
      <c r="GD177" s="701" t="str">
        <f t="shared" si="789"/>
        <v/>
      </c>
      <c r="GE177" s="66">
        <f t="shared" si="752"/>
        <v>0</v>
      </c>
      <c r="GF177" s="717"/>
      <c r="GG177" s="716"/>
      <c r="GH177" s="701" t="str">
        <f t="shared" si="790"/>
        <v/>
      </c>
      <c r="GI177" s="66">
        <f t="shared" si="753"/>
        <v>0</v>
      </c>
      <c r="GJ177" s="717"/>
      <c r="GK177" s="716"/>
      <c r="GL177" s="701" t="str">
        <f t="shared" si="791"/>
        <v/>
      </c>
      <c r="GM177" s="66">
        <f t="shared" si="754"/>
        <v>0</v>
      </c>
      <c r="GN177" s="717"/>
      <c r="GO177" s="716"/>
      <c r="GP177" s="701" t="str">
        <f t="shared" si="792"/>
        <v/>
      </c>
      <c r="GQ177" s="66">
        <f t="shared" si="755"/>
        <v>0</v>
      </c>
      <c r="GR177" s="717"/>
      <c r="GS177" s="716"/>
      <c r="GT177" s="701" t="str">
        <f t="shared" si="793"/>
        <v/>
      </c>
      <c r="GU177" s="66">
        <f t="shared" si="756"/>
        <v>0</v>
      </c>
      <c r="GV177" s="717"/>
      <c r="GW177" s="716"/>
      <c r="GX177" s="701" t="str">
        <f t="shared" si="794"/>
        <v/>
      </c>
      <c r="GY177" s="66">
        <f t="shared" si="757"/>
        <v>0</v>
      </c>
      <c r="GZ177" s="717"/>
      <c r="HA177" s="716"/>
      <c r="HB177" s="701" t="str">
        <f t="shared" si="795"/>
        <v/>
      </c>
      <c r="HC177" s="66">
        <f t="shared" si="758"/>
        <v>0</v>
      </c>
      <c r="HD177" s="717"/>
      <c r="HE177" s="716"/>
      <c r="HF177" s="701" t="str">
        <f t="shared" si="796"/>
        <v/>
      </c>
      <c r="HG177" s="66">
        <f t="shared" si="759"/>
        <v>0</v>
      </c>
      <c r="HH177" s="717"/>
      <c r="HI177" s="716"/>
      <c r="HJ177" s="701" t="str">
        <f t="shared" si="797"/>
        <v/>
      </c>
      <c r="HK177" s="66">
        <f t="shared" si="760"/>
        <v>0</v>
      </c>
      <c r="HL177" s="717"/>
      <c r="HM177" s="716"/>
      <c r="HN177" s="701" t="str">
        <f t="shared" si="798"/>
        <v/>
      </c>
      <c r="HO177" s="66">
        <f t="shared" si="761"/>
        <v>0</v>
      </c>
      <c r="HP177" s="717"/>
      <c r="HQ177" s="716"/>
      <c r="HR177" s="701" t="str">
        <f t="shared" si="799"/>
        <v/>
      </c>
      <c r="HS177" s="66">
        <f t="shared" si="762"/>
        <v>0</v>
      </c>
      <c r="HT177" s="717"/>
      <c r="HU177" s="716"/>
      <c r="HV177" s="701" t="str">
        <f t="shared" si="800"/>
        <v/>
      </c>
      <c r="HW177" s="66">
        <f t="shared" si="763"/>
        <v>0</v>
      </c>
      <c r="HX177" s="717"/>
      <c r="HY177" s="716"/>
      <c r="HZ177" s="701" t="str">
        <f t="shared" si="801"/>
        <v/>
      </c>
      <c r="IA177" s="66">
        <f t="shared" si="764"/>
        <v>0</v>
      </c>
      <c r="IB177" s="717"/>
      <c r="IC177" s="716"/>
      <c r="ID177" s="701" t="str">
        <f t="shared" si="802"/>
        <v/>
      </c>
      <c r="IE177" s="66">
        <f t="shared" si="765"/>
        <v>0</v>
      </c>
      <c r="IF177" s="717"/>
      <c r="IG177" s="716"/>
      <c r="IH177" s="701" t="str">
        <f t="shared" si="803"/>
        <v/>
      </c>
      <c r="II177" s="66">
        <f t="shared" si="766"/>
        <v>0</v>
      </c>
      <c r="IJ177" s="717"/>
      <c r="IK177" s="716"/>
      <c r="IL177" s="701" t="str">
        <f t="shared" si="804"/>
        <v/>
      </c>
      <c r="IM177" s="66">
        <f t="shared" si="767"/>
        <v>0</v>
      </c>
      <c r="IN177" s="717"/>
      <c r="IO177" s="716"/>
      <c r="IP177" s="701" t="str">
        <f t="shared" si="805"/>
        <v/>
      </c>
      <c r="IQ177" s="66">
        <f t="shared" si="768"/>
        <v>0</v>
      </c>
      <c r="IR177" s="717"/>
      <c r="IS177" s="716"/>
      <c r="IT177" s="701" t="str">
        <f t="shared" si="806"/>
        <v/>
      </c>
      <c r="IU177" s="66">
        <f t="shared" si="769"/>
        <v>0</v>
      </c>
      <c r="IV177" s="717"/>
      <c r="IW177" s="716"/>
      <c r="IX177" s="701" t="str">
        <f t="shared" si="807"/>
        <v/>
      </c>
      <c r="IY177" s="66">
        <f t="shared" si="770"/>
        <v>0</v>
      </c>
    </row>
    <row r="178" spans="44:259" ht="13.3" thickTop="1" thickBot="1" x14ac:dyDescent="0.35">
      <c r="AR178" s="1"/>
      <c r="AS178" s="1"/>
      <c r="AX178" s="2"/>
      <c r="DS178" s="33"/>
      <c r="DT178" s="33"/>
      <c r="DU178" s="33"/>
      <c r="DV178" s="33"/>
      <c r="DW178" s="33"/>
      <c r="DX178" s="1047" t="str">
        <f t="shared" si="771"/>
        <v/>
      </c>
      <c r="DY178" s="1019" t="str">
        <f t="shared" si="772"/>
        <v/>
      </c>
      <c r="DZ178" s="1018" t="str">
        <f t="shared" si="773"/>
        <v/>
      </c>
      <c r="EA178" s="1018" t="str">
        <f t="shared" si="774"/>
        <v/>
      </c>
      <c r="EB178" s="1022" t="str">
        <f t="shared" si="775"/>
        <v/>
      </c>
      <c r="EC178" s="1020" t="str">
        <f t="shared" si="776"/>
        <v/>
      </c>
      <c r="ED178" s="1017" t="str">
        <f t="shared" si="777"/>
        <v/>
      </c>
      <c r="EE178" s="1021" t="str">
        <f t="shared" si="778"/>
        <v/>
      </c>
      <c r="EF178" s="1029" t="str">
        <f t="shared" si="809"/>
        <v/>
      </c>
      <c r="EG178" s="1028">
        <v>9</v>
      </c>
      <c r="EH178" s="1026" t="str">
        <f t="shared" si="810"/>
        <v/>
      </c>
      <c r="EI178" s="1026" t="str">
        <f t="shared" si="811"/>
        <v/>
      </c>
      <c r="EJ178" s="33"/>
      <c r="EM178" s="750" t="str">
        <f t="shared" si="734"/>
        <v/>
      </c>
      <c r="EN178" s="58" t="str">
        <f t="shared" si="735"/>
        <v/>
      </c>
      <c r="EO178" s="748" t="str">
        <f t="shared" si="736"/>
        <v/>
      </c>
      <c r="EP178" s="751" t="str">
        <f>IF(OR(EN178="",EN178=0),"",IF($EO178&gt;'Quadro 1'!$G$23,'Quadro 1'!$G$23,IF($EO178&lt;'Quadro 1'!$G$10,'Quadro 1'!$G$10,EO178)))</f>
        <v/>
      </c>
      <c r="EQ178" s="33"/>
      <c r="ER178" s="735" t="str">
        <f t="shared" si="737"/>
        <v>Crítico</v>
      </c>
      <c r="ES178" s="741">
        <f t="shared" si="779"/>
        <v>1</v>
      </c>
      <c r="ET178" s="736" t="str">
        <f t="shared" si="738"/>
        <v/>
      </c>
      <c r="EU178" s="33">
        <f t="shared" si="739"/>
        <v>0</v>
      </c>
      <c r="EV178" s="735" t="str">
        <f t="shared" si="740"/>
        <v/>
      </c>
      <c r="EW178" s="741" t="str">
        <f t="shared" si="780"/>
        <v/>
      </c>
      <c r="EX178" s="743" t="str">
        <f t="shared" si="741"/>
        <v/>
      </c>
      <c r="EY178" s="33">
        <v>9</v>
      </c>
      <c r="EZ178" s="735" t="str">
        <f t="shared" si="742"/>
        <v/>
      </c>
      <c r="FA178" s="741" t="str">
        <f t="shared" si="781"/>
        <v/>
      </c>
      <c r="FB178" s="18">
        <f t="shared" si="782"/>
        <v>0</v>
      </c>
      <c r="FC178" s="735" t="str">
        <f t="shared" si="743"/>
        <v/>
      </c>
      <c r="FD178" s="734" t="str">
        <f t="shared" si="783"/>
        <v/>
      </c>
      <c r="FE178" s="1477">
        <f t="shared" si="808"/>
        <v>0</v>
      </c>
      <c r="FF178" s="275" t="str">
        <f t="shared" si="744"/>
        <v/>
      </c>
      <c r="FG178" s="145" t="str">
        <f t="shared" si="745"/>
        <v/>
      </c>
      <c r="FH178" s="726">
        <f t="shared" si="746"/>
        <v>0</v>
      </c>
      <c r="FI178" s="718"/>
      <c r="FJ178" s="701" t="str">
        <f t="shared" si="784"/>
        <v/>
      </c>
      <c r="FK178" s="66">
        <f t="shared" si="747"/>
        <v>0</v>
      </c>
      <c r="FL178" s="717"/>
      <c r="FM178" s="716"/>
      <c r="FN178" s="701" t="str">
        <f t="shared" si="785"/>
        <v/>
      </c>
      <c r="FO178" s="66">
        <f t="shared" si="748"/>
        <v>0</v>
      </c>
      <c r="FP178" s="717"/>
      <c r="FQ178" s="716"/>
      <c r="FR178" s="701" t="str">
        <f t="shared" si="786"/>
        <v/>
      </c>
      <c r="FS178" s="66">
        <f t="shared" si="749"/>
        <v>0</v>
      </c>
      <c r="FT178" s="717"/>
      <c r="FU178" s="716"/>
      <c r="FV178" s="701" t="str">
        <f t="shared" si="787"/>
        <v/>
      </c>
      <c r="FW178" s="66">
        <f t="shared" si="750"/>
        <v>0</v>
      </c>
      <c r="FX178" s="717"/>
      <c r="FY178" s="716"/>
      <c r="FZ178" s="701" t="str">
        <f t="shared" si="788"/>
        <v/>
      </c>
      <c r="GA178" s="66">
        <f t="shared" si="751"/>
        <v>0</v>
      </c>
      <c r="GB178" s="717"/>
      <c r="GC178" s="716"/>
      <c r="GD178" s="701" t="str">
        <f t="shared" si="789"/>
        <v/>
      </c>
      <c r="GE178" s="66">
        <f t="shared" si="752"/>
        <v>0</v>
      </c>
      <c r="GF178" s="717"/>
      <c r="GG178" s="716"/>
      <c r="GH178" s="701" t="str">
        <f t="shared" si="790"/>
        <v/>
      </c>
      <c r="GI178" s="66">
        <f t="shared" si="753"/>
        <v>0</v>
      </c>
      <c r="GJ178" s="717"/>
      <c r="GK178" s="716"/>
      <c r="GL178" s="701" t="str">
        <f t="shared" si="791"/>
        <v/>
      </c>
      <c r="GM178" s="66">
        <f t="shared" si="754"/>
        <v>0</v>
      </c>
      <c r="GN178" s="717"/>
      <c r="GO178" s="716"/>
      <c r="GP178" s="701" t="str">
        <f t="shared" si="792"/>
        <v/>
      </c>
      <c r="GQ178" s="66">
        <f t="shared" si="755"/>
        <v>0</v>
      </c>
      <c r="GR178" s="717"/>
      <c r="GS178" s="716"/>
      <c r="GT178" s="701" t="str">
        <f t="shared" si="793"/>
        <v/>
      </c>
      <c r="GU178" s="66">
        <f t="shared" si="756"/>
        <v>0</v>
      </c>
      <c r="GV178" s="717"/>
      <c r="GW178" s="716"/>
      <c r="GX178" s="701" t="str">
        <f t="shared" si="794"/>
        <v/>
      </c>
      <c r="GY178" s="66">
        <f t="shared" si="757"/>
        <v>0</v>
      </c>
      <c r="GZ178" s="717"/>
      <c r="HA178" s="716"/>
      <c r="HB178" s="701" t="str">
        <f t="shared" si="795"/>
        <v/>
      </c>
      <c r="HC178" s="66">
        <f t="shared" si="758"/>
        <v>0</v>
      </c>
      <c r="HD178" s="717"/>
      <c r="HE178" s="716"/>
      <c r="HF178" s="701" t="str">
        <f t="shared" si="796"/>
        <v/>
      </c>
      <c r="HG178" s="66">
        <f t="shared" si="759"/>
        <v>0</v>
      </c>
      <c r="HH178" s="717"/>
      <c r="HI178" s="716"/>
      <c r="HJ178" s="701" t="str">
        <f t="shared" si="797"/>
        <v/>
      </c>
      <c r="HK178" s="66">
        <f t="shared" si="760"/>
        <v>0</v>
      </c>
      <c r="HL178" s="717"/>
      <c r="HM178" s="716"/>
      <c r="HN178" s="701" t="str">
        <f t="shared" si="798"/>
        <v/>
      </c>
      <c r="HO178" s="66">
        <f t="shared" si="761"/>
        <v>0</v>
      </c>
      <c r="HP178" s="717"/>
      <c r="HQ178" s="716"/>
      <c r="HR178" s="701" t="str">
        <f t="shared" si="799"/>
        <v/>
      </c>
      <c r="HS178" s="66">
        <f t="shared" si="762"/>
        <v>0</v>
      </c>
      <c r="HT178" s="717"/>
      <c r="HU178" s="716"/>
      <c r="HV178" s="701" t="str">
        <f t="shared" si="800"/>
        <v/>
      </c>
      <c r="HW178" s="66">
        <f t="shared" si="763"/>
        <v>0</v>
      </c>
      <c r="HX178" s="717"/>
      <c r="HY178" s="716"/>
      <c r="HZ178" s="701" t="str">
        <f t="shared" si="801"/>
        <v/>
      </c>
      <c r="IA178" s="66">
        <f t="shared" si="764"/>
        <v>0</v>
      </c>
      <c r="IB178" s="717"/>
      <c r="IC178" s="716"/>
      <c r="ID178" s="701" t="str">
        <f t="shared" si="802"/>
        <v/>
      </c>
      <c r="IE178" s="66">
        <f t="shared" si="765"/>
        <v>0</v>
      </c>
      <c r="IF178" s="717"/>
      <c r="IG178" s="716"/>
      <c r="IH178" s="701" t="str">
        <f t="shared" si="803"/>
        <v/>
      </c>
      <c r="II178" s="66">
        <f t="shared" si="766"/>
        <v>0</v>
      </c>
      <c r="IJ178" s="717"/>
      <c r="IK178" s="716"/>
      <c r="IL178" s="701" t="str">
        <f t="shared" si="804"/>
        <v/>
      </c>
      <c r="IM178" s="66">
        <f t="shared" si="767"/>
        <v>0</v>
      </c>
      <c r="IN178" s="717"/>
      <c r="IO178" s="716"/>
      <c r="IP178" s="701" t="str">
        <f t="shared" si="805"/>
        <v/>
      </c>
      <c r="IQ178" s="66">
        <f t="shared" si="768"/>
        <v>0</v>
      </c>
      <c r="IR178" s="717"/>
      <c r="IS178" s="716"/>
      <c r="IT178" s="701" t="str">
        <f t="shared" si="806"/>
        <v/>
      </c>
      <c r="IU178" s="66">
        <f t="shared" si="769"/>
        <v>0</v>
      </c>
      <c r="IV178" s="717"/>
      <c r="IW178" s="716"/>
      <c r="IX178" s="701" t="str">
        <f t="shared" si="807"/>
        <v/>
      </c>
      <c r="IY178" s="66">
        <f t="shared" si="770"/>
        <v>0</v>
      </c>
    </row>
    <row r="179" spans="44:259" ht="13.3" thickTop="1" thickBot="1" x14ac:dyDescent="0.35">
      <c r="AR179" s="1"/>
      <c r="AS179" s="1"/>
      <c r="AX179" s="2"/>
      <c r="DS179" s="33"/>
      <c r="DT179" s="33"/>
      <c r="DU179" s="33"/>
      <c r="DV179" s="33"/>
      <c r="DW179" s="33"/>
      <c r="DX179" s="1047" t="str">
        <f t="shared" si="771"/>
        <v/>
      </c>
      <c r="DY179" s="1019" t="str">
        <f t="shared" si="772"/>
        <v/>
      </c>
      <c r="DZ179" s="1018" t="str">
        <f t="shared" si="773"/>
        <v/>
      </c>
      <c r="EA179" s="1018" t="str">
        <f t="shared" si="774"/>
        <v/>
      </c>
      <c r="EB179" s="1022" t="str">
        <f t="shared" si="775"/>
        <v/>
      </c>
      <c r="EC179" s="1020" t="str">
        <f t="shared" si="776"/>
        <v/>
      </c>
      <c r="ED179" s="1017" t="str">
        <f t="shared" si="777"/>
        <v/>
      </c>
      <c r="EE179" s="1021" t="str">
        <f t="shared" si="778"/>
        <v/>
      </c>
      <c r="EF179" s="1029" t="str">
        <f t="shared" si="809"/>
        <v/>
      </c>
      <c r="EG179" s="1028">
        <v>10</v>
      </c>
      <c r="EH179" s="1026" t="str">
        <f t="shared" si="810"/>
        <v/>
      </c>
      <c r="EI179" s="1026" t="str">
        <f t="shared" si="811"/>
        <v/>
      </c>
      <c r="EJ179" s="33"/>
      <c r="EM179" s="750" t="str">
        <f t="shared" si="734"/>
        <v/>
      </c>
      <c r="EN179" s="58" t="str">
        <f t="shared" si="735"/>
        <v/>
      </c>
      <c r="EO179" s="748" t="str">
        <f t="shared" si="736"/>
        <v/>
      </c>
      <c r="EP179" s="751" t="str">
        <f>IF(OR(EN179="",EN179=0),"",IF($EO179&gt;'Quadro 1'!$G$23,'Quadro 1'!$G$23,IF($EO179&lt;'Quadro 1'!$G$10,'Quadro 1'!$G$10,EO179)))</f>
        <v/>
      </c>
      <c r="EQ179" s="33"/>
      <c r="ER179" s="735" t="str">
        <f t="shared" si="737"/>
        <v>Crítico</v>
      </c>
      <c r="ES179" s="741">
        <f t="shared" si="779"/>
        <v>1</v>
      </c>
      <c r="ET179" s="736" t="str">
        <f t="shared" si="738"/>
        <v/>
      </c>
      <c r="EU179" s="33">
        <f t="shared" si="739"/>
        <v>0</v>
      </c>
      <c r="EV179" s="735" t="str">
        <f t="shared" si="740"/>
        <v/>
      </c>
      <c r="EW179" s="741" t="str">
        <f t="shared" si="780"/>
        <v/>
      </c>
      <c r="EX179" s="743" t="str">
        <f t="shared" si="741"/>
        <v/>
      </c>
      <c r="EY179" s="33">
        <v>10</v>
      </c>
      <c r="EZ179" s="735" t="str">
        <f t="shared" si="742"/>
        <v/>
      </c>
      <c r="FA179" s="741" t="str">
        <f t="shared" si="781"/>
        <v/>
      </c>
      <c r="FB179" s="18">
        <f t="shared" si="782"/>
        <v>0</v>
      </c>
      <c r="FC179" s="735" t="str">
        <f t="shared" si="743"/>
        <v/>
      </c>
      <c r="FD179" s="734" t="str">
        <f t="shared" si="783"/>
        <v/>
      </c>
      <c r="FE179" s="1477">
        <f t="shared" si="808"/>
        <v>0</v>
      </c>
      <c r="FF179" s="275" t="str">
        <f t="shared" si="744"/>
        <v/>
      </c>
      <c r="FG179" s="145" t="str">
        <f t="shared" si="745"/>
        <v/>
      </c>
      <c r="FH179" s="726">
        <f t="shared" si="746"/>
        <v>0</v>
      </c>
      <c r="FI179" s="718"/>
      <c r="FJ179" s="701" t="str">
        <f t="shared" si="784"/>
        <v/>
      </c>
      <c r="FK179" s="66">
        <f t="shared" si="747"/>
        <v>0</v>
      </c>
      <c r="FL179" s="717"/>
      <c r="FM179" s="716"/>
      <c r="FN179" s="701" t="str">
        <f t="shared" si="785"/>
        <v/>
      </c>
      <c r="FO179" s="66">
        <f t="shared" si="748"/>
        <v>0</v>
      </c>
      <c r="FP179" s="717"/>
      <c r="FQ179" s="716"/>
      <c r="FR179" s="701" t="str">
        <f t="shared" si="786"/>
        <v/>
      </c>
      <c r="FS179" s="66">
        <f t="shared" si="749"/>
        <v>0</v>
      </c>
      <c r="FT179" s="717"/>
      <c r="FU179" s="716"/>
      <c r="FV179" s="701" t="str">
        <f t="shared" si="787"/>
        <v/>
      </c>
      <c r="FW179" s="66">
        <f t="shared" si="750"/>
        <v>0</v>
      </c>
      <c r="FX179" s="717"/>
      <c r="FY179" s="716"/>
      <c r="FZ179" s="701" t="str">
        <f t="shared" si="788"/>
        <v/>
      </c>
      <c r="GA179" s="66">
        <f t="shared" si="751"/>
        <v>0</v>
      </c>
      <c r="GB179" s="717"/>
      <c r="GC179" s="716"/>
      <c r="GD179" s="701" t="str">
        <f t="shared" si="789"/>
        <v/>
      </c>
      <c r="GE179" s="66">
        <f t="shared" si="752"/>
        <v>0</v>
      </c>
      <c r="GF179" s="717"/>
      <c r="GG179" s="716"/>
      <c r="GH179" s="701" t="str">
        <f t="shared" si="790"/>
        <v/>
      </c>
      <c r="GI179" s="66">
        <f t="shared" si="753"/>
        <v>0</v>
      </c>
      <c r="GJ179" s="717"/>
      <c r="GK179" s="716"/>
      <c r="GL179" s="701" t="str">
        <f t="shared" si="791"/>
        <v/>
      </c>
      <c r="GM179" s="66">
        <f t="shared" si="754"/>
        <v>0</v>
      </c>
      <c r="GN179" s="717"/>
      <c r="GO179" s="716"/>
      <c r="GP179" s="701" t="str">
        <f t="shared" si="792"/>
        <v/>
      </c>
      <c r="GQ179" s="66">
        <f t="shared" si="755"/>
        <v>0</v>
      </c>
      <c r="GR179" s="717"/>
      <c r="GS179" s="716"/>
      <c r="GT179" s="701" t="str">
        <f t="shared" si="793"/>
        <v/>
      </c>
      <c r="GU179" s="66">
        <f t="shared" si="756"/>
        <v>0</v>
      </c>
      <c r="GV179" s="717"/>
      <c r="GW179" s="716"/>
      <c r="GX179" s="701" t="str">
        <f t="shared" si="794"/>
        <v/>
      </c>
      <c r="GY179" s="66">
        <f t="shared" si="757"/>
        <v>0</v>
      </c>
      <c r="GZ179" s="717"/>
      <c r="HA179" s="716"/>
      <c r="HB179" s="701" t="str">
        <f t="shared" si="795"/>
        <v/>
      </c>
      <c r="HC179" s="66">
        <f t="shared" si="758"/>
        <v>0</v>
      </c>
      <c r="HD179" s="717"/>
      <c r="HE179" s="716"/>
      <c r="HF179" s="701" t="str">
        <f t="shared" si="796"/>
        <v/>
      </c>
      <c r="HG179" s="66">
        <f t="shared" si="759"/>
        <v>0</v>
      </c>
      <c r="HH179" s="717"/>
      <c r="HI179" s="716"/>
      <c r="HJ179" s="701" t="str">
        <f t="shared" si="797"/>
        <v/>
      </c>
      <c r="HK179" s="66">
        <f t="shared" si="760"/>
        <v>0</v>
      </c>
      <c r="HL179" s="717"/>
      <c r="HM179" s="716"/>
      <c r="HN179" s="701" t="str">
        <f t="shared" si="798"/>
        <v/>
      </c>
      <c r="HO179" s="66">
        <f t="shared" si="761"/>
        <v>0</v>
      </c>
      <c r="HP179" s="717"/>
      <c r="HQ179" s="716"/>
      <c r="HR179" s="701" t="str">
        <f t="shared" si="799"/>
        <v/>
      </c>
      <c r="HS179" s="66">
        <f t="shared" si="762"/>
        <v>0</v>
      </c>
      <c r="HT179" s="717"/>
      <c r="HU179" s="716"/>
      <c r="HV179" s="701" t="str">
        <f t="shared" si="800"/>
        <v/>
      </c>
      <c r="HW179" s="66">
        <f t="shared" si="763"/>
        <v>0</v>
      </c>
      <c r="HX179" s="717"/>
      <c r="HY179" s="716"/>
      <c r="HZ179" s="701" t="str">
        <f t="shared" si="801"/>
        <v/>
      </c>
      <c r="IA179" s="66">
        <f t="shared" si="764"/>
        <v>0</v>
      </c>
      <c r="IB179" s="717"/>
      <c r="IC179" s="716"/>
      <c r="ID179" s="701" t="str">
        <f t="shared" si="802"/>
        <v/>
      </c>
      <c r="IE179" s="66">
        <f t="shared" si="765"/>
        <v>0</v>
      </c>
      <c r="IF179" s="717"/>
      <c r="IG179" s="716"/>
      <c r="IH179" s="701" t="str">
        <f t="shared" si="803"/>
        <v/>
      </c>
      <c r="II179" s="66">
        <f t="shared" si="766"/>
        <v>0</v>
      </c>
      <c r="IJ179" s="717"/>
      <c r="IK179" s="716"/>
      <c r="IL179" s="701" t="str">
        <f t="shared" si="804"/>
        <v/>
      </c>
      <c r="IM179" s="66">
        <f t="shared" si="767"/>
        <v>0</v>
      </c>
      <c r="IN179" s="717"/>
      <c r="IO179" s="716"/>
      <c r="IP179" s="701" t="str">
        <f t="shared" si="805"/>
        <v/>
      </c>
      <c r="IQ179" s="66">
        <f t="shared" si="768"/>
        <v>0</v>
      </c>
      <c r="IR179" s="717"/>
      <c r="IS179" s="716"/>
      <c r="IT179" s="701" t="str">
        <f t="shared" si="806"/>
        <v/>
      </c>
      <c r="IU179" s="66">
        <f t="shared" si="769"/>
        <v>0</v>
      </c>
      <c r="IV179" s="717"/>
      <c r="IW179" s="716"/>
      <c r="IX179" s="701" t="str">
        <f t="shared" si="807"/>
        <v/>
      </c>
      <c r="IY179" s="66">
        <f t="shared" si="770"/>
        <v>0</v>
      </c>
    </row>
    <row r="180" spans="44:259" ht="13.3" thickTop="1" thickBot="1" x14ac:dyDescent="0.35">
      <c r="AR180" s="1"/>
      <c r="AS180" s="1"/>
      <c r="AX180" s="2"/>
      <c r="DS180" s="33"/>
      <c r="DT180" s="33"/>
      <c r="DU180" s="33"/>
      <c r="DV180" s="33"/>
      <c r="DW180" s="33"/>
      <c r="DX180" s="1047" t="str">
        <f t="shared" si="771"/>
        <v/>
      </c>
      <c r="DY180" s="1019" t="str">
        <f t="shared" si="772"/>
        <v/>
      </c>
      <c r="DZ180" s="1018" t="str">
        <f t="shared" si="773"/>
        <v/>
      </c>
      <c r="EA180" s="1018" t="str">
        <f t="shared" si="774"/>
        <v/>
      </c>
      <c r="EB180" s="1022" t="str">
        <f t="shared" si="775"/>
        <v/>
      </c>
      <c r="EC180" s="1020" t="str">
        <f t="shared" si="776"/>
        <v/>
      </c>
      <c r="ED180" s="1017" t="str">
        <f t="shared" si="777"/>
        <v/>
      </c>
      <c r="EE180" s="1021" t="str">
        <f t="shared" si="778"/>
        <v/>
      </c>
      <c r="EF180" s="1029" t="str">
        <f t="shared" si="809"/>
        <v/>
      </c>
      <c r="EG180" s="1028">
        <v>11</v>
      </c>
      <c r="EH180" s="1026" t="str">
        <f t="shared" si="810"/>
        <v/>
      </c>
      <c r="EI180" s="1026" t="str">
        <f t="shared" si="811"/>
        <v/>
      </c>
      <c r="EJ180" s="33"/>
      <c r="EM180" s="750" t="str">
        <f t="shared" si="734"/>
        <v/>
      </c>
      <c r="EN180" s="58" t="str">
        <f t="shared" si="735"/>
        <v/>
      </c>
      <c r="EO180" s="748" t="str">
        <f t="shared" si="736"/>
        <v/>
      </c>
      <c r="EP180" s="751" t="str">
        <f>IF(OR(EN180="",EN180=0),"",IF($EO180&gt;'Quadro 1'!$G$23,'Quadro 1'!$G$23,IF($EO180&lt;'Quadro 1'!$G$10,'Quadro 1'!$G$10,EO180)))</f>
        <v/>
      </c>
      <c r="EQ180" s="33"/>
      <c r="ER180" s="735" t="str">
        <f t="shared" si="737"/>
        <v>Crítico</v>
      </c>
      <c r="ES180" s="741">
        <f t="shared" si="779"/>
        <v>1</v>
      </c>
      <c r="ET180" s="736" t="str">
        <f t="shared" si="738"/>
        <v/>
      </c>
      <c r="EU180" s="33">
        <f t="shared" si="739"/>
        <v>0</v>
      </c>
      <c r="EV180" s="735" t="str">
        <f t="shared" si="740"/>
        <v/>
      </c>
      <c r="EW180" s="741" t="str">
        <f t="shared" si="780"/>
        <v/>
      </c>
      <c r="EX180" s="743" t="str">
        <f t="shared" si="741"/>
        <v/>
      </c>
      <c r="EY180" s="33">
        <v>11</v>
      </c>
      <c r="EZ180" s="735" t="str">
        <f t="shared" si="742"/>
        <v/>
      </c>
      <c r="FA180" s="741" t="str">
        <f t="shared" si="781"/>
        <v/>
      </c>
      <c r="FB180" s="18">
        <f t="shared" si="782"/>
        <v>0</v>
      </c>
      <c r="FC180" s="735" t="str">
        <f t="shared" si="743"/>
        <v/>
      </c>
      <c r="FD180" s="734" t="str">
        <f t="shared" si="783"/>
        <v/>
      </c>
      <c r="FE180" s="1477">
        <f t="shared" si="808"/>
        <v>0</v>
      </c>
      <c r="FF180" s="275" t="str">
        <f t="shared" si="744"/>
        <v/>
      </c>
      <c r="FG180" s="145" t="str">
        <f t="shared" si="745"/>
        <v/>
      </c>
      <c r="FH180" s="726">
        <f t="shared" si="746"/>
        <v>0</v>
      </c>
      <c r="FI180" s="718"/>
      <c r="FJ180" s="701" t="str">
        <f t="shared" si="784"/>
        <v/>
      </c>
      <c r="FK180" s="66">
        <f t="shared" si="747"/>
        <v>0</v>
      </c>
      <c r="FL180" s="717"/>
      <c r="FM180" s="716"/>
      <c r="FN180" s="701" t="str">
        <f t="shared" si="785"/>
        <v/>
      </c>
      <c r="FO180" s="66">
        <f t="shared" si="748"/>
        <v>0</v>
      </c>
      <c r="FP180" s="717"/>
      <c r="FQ180" s="716"/>
      <c r="FR180" s="701" t="str">
        <f t="shared" si="786"/>
        <v/>
      </c>
      <c r="FS180" s="66">
        <f t="shared" si="749"/>
        <v>0</v>
      </c>
      <c r="FT180" s="717"/>
      <c r="FU180" s="716"/>
      <c r="FV180" s="701" t="str">
        <f t="shared" si="787"/>
        <v/>
      </c>
      <c r="FW180" s="66">
        <f t="shared" si="750"/>
        <v>0</v>
      </c>
      <c r="FX180" s="717"/>
      <c r="FY180" s="716"/>
      <c r="FZ180" s="701" t="str">
        <f t="shared" si="788"/>
        <v/>
      </c>
      <c r="GA180" s="66">
        <f t="shared" si="751"/>
        <v>0</v>
      </c>
      <c r="GB180" s="717"/>
      <c r="GC180" s="716"/>
      <c r="GD180" s="701" t="str">
        <f t="shared" si="789"/>
        <v/>
      </c>
      <c r="GE180" s="66">
        <f t="shared" si="752"/>
        <v>0</v>
      </c>
      <c r="GF180" s="717"/>
      <c r="GG180" s="716"/>
      <c r="GH180" s="701" t="str">
        <f t="shared" si="790"/>
        <v/>
      </c>
      <c r="GI180" s="66">
        <f t="shared" si="753"/>
        <v>0</v>
      </c>
      <c r="GJ180" s="717"/>
      <c r="GK180" s="716"/>
      <c r="GL180" s="701" t="str">
        <f t="shared" si="791"/>
        <v/>
      </c>
      <c r="GM180" s="66">
        <f t="shared" si="754"/>
        <v>0</v>
      </c>
      <c r="GN180" s="717"/>
      <c r="GO180" s="716"/>
      <c r="GP180" s="701" t="str">
        <f t="shared" si="792"/>
        <v/>
      </c>
      <c r="GQ180" s="66">
        <f t="shared" si="755"/>
        <v>0</v>
      </c>
      <c r="GR180" s="717"/>
      <c r="GS180" s="716"/>
      <c r="GT180" s="701" t="str">
        <f t="shared" si="793"/>
        <v/>
      </c>
      <c r="GU180" s="66">
        <f t="shared" si="756"/>
        <v>0</v>
      </c>
      <c r="GV180" s="717"/>
      <c r="GW180" s="716"/>
      <c r="GX180" s="701" t="str">
        <f t="shared" si="794"/>
        <v/>
      </c>
      <c r="GY180" s="66">
        <f t="shared" si="757"/>
        <v>0</v>
      </c>
      <c r="GZ180" s="717"/>
      <c r="HA180" s="716"/>
      <c r="HB180" s="701" t="str">
        <f t="shared" si="795"/>
        <v/>
      </c>
      <c r="HC180" s="66">
        <f t="shared" si="758"/>
        <v>0</v>
      </c>
      <c r="HD180" s="717"/>
      <c r="HE180" s="716"/>
      <c r="HF180" s="701" t="str">
        <f t="shared" si="796"/>
        <v/>
      </c>
      <c r="HG180" s="66">
        <f t="shared" si="759"/>
        <v>0</v>
      </c>
      <c r="HH180" s="717"/>
      <c r="HI180" s="716"/>
      <c r="HJ180" s="701" t="str">
        <f t="shared" si="797"/>
        <v/>
      </c>
      <c r="HK180" s="66">
        <f t="shared" si="760"/>
        <v>0</v>
      </c>
      <c r="HL180" s="717"/>
      <c r="HM180" s="716"/>
      <c r="HN180" s="701" t="str">
        <f t="shared" si="798"/>
        <v/>
      </c>
      <c r="HO180" s="66">
        <f t="shared" si="761"/>
        <v>0</v>
      </c>
      <c r="HP180" s="717"/>
      <c r="HQ180" s="716"/>
      <c r="HR180" s="701" t="str">
        <f t="shared" si="799"/>
        <v/>
      </c>
      <c r="HS180" s="66">
        <f t="shared" si="762"/>
        <v>0</v>
      </c>
      <c r="HT180" s="717"/>
      <c r="HU180" s="716"/>
      <c r="HV180" s="701" t="str">
        <f t="shared" si="800"/>
        <v/>
      </c>
      <c r="HW180" s="66">
        <f t="shared" si="763"/>
        <v>0</v>
      </c>
      <c r="HX180" s="717"/>
      <c r="HY180" s="716"/>
      <c r="HZ180" s="701" t="str">
        <f t="shared" si="801"/>
        <v/>
      </c>
      <c r="IA180" s="66">
        <f t="shared" si="764"/>
        <v>0</v>
      </c>
      <c r="IB180" s="717"/>
      <c r="IC180" s="716"/>
      <c r="ID180" s="701" t="str">
        <f t="shared" si="802"/>
        <v/>
      </c>
      <c r="IE180" s="66">
        <f t="shared" si="765"/>
        <v>0</v>
      </c>
      <c r="IF180" s="717"/>
      <c r="IG180" s="716"/>
      <c r="IH180" s="701" t="str">
        <f t="shared" si="803"/>
        <v/>
      </c>
      <c r="II180" s="66">
        <f t="shared" si="766"/>
        <v>0</v>
      </c>
      <c r="IJ180" s="717"/>
      <c r="IK180" s="716"/>
      <c r="IL180" s="701" t="str">
        <f t="shared" si="804"/>
        <v/>
      </c>
      <c r="IM180" s="66">
        <f t="shared" si="767"/>
        <v>0</v>
      </c>
      <c r="IN180" s="717"/>
      <c r="IO180" s="716"/>
      <c r="IP180" s="701" t="str">
        <f t="shared" si="805"/>
        <v/>
      </c>
      <c r="IQ180" s="66">
        <f t="shared" si="768"/>
        <v>0</v>
      </c>
      <c r="IR180" s="717"/>
      <c r="IS180" s="716"/>
      <c r="IT180" s="701" t="str">
        <f t="shared" si="806"/>
        <v/>
      </c>
      <c r="IU180" s="66">
        <f t="shared" si="769"/>
        <v>0</v>
      </c>
      <c r="IV180" s="717"/>
      <c r="IW180" s="716"/>
      <c r="IX180" s="701" t="str">
        <f t="shared" si="807"/>
        <v/>
      </c>
      <c r="IY180" s="66">
        <f t="shared" si="770"/>
        <v>0</v>
      </c>
    </row>
    <row r="181" spans="44:259" ht="13.3" thickTop="1" thickBot="1" x14ac:dyDescent="0.35">
      <c r="AR181" s="1"/>
      <c r="AS181" s="1"/>
      <c r="AX181" s="2"/>
      <c r="DS181" s="33"/>
      <c r="DT181" s="33"/>
      <c r="DU181" s="33"/>
      <c r="DV181" s="33"/>
      <c r="DW181" s="33"/>
      <c r="DX181" s="1047" t="str">
        <f t="shared" si="771"/>
        <v/>
      </c>
      <c r="DY181" s="1019" t="str">
        <f t="shared" si="772"/>
        <v/>
      </c>
      <c r="DZ181" s="1018" t="str">
        <f t="shared" si="773"/>
        <v/>
      </c>
      <c r="EA181" s="1018" t="str">
        <f t="shared" si="774"/>
        <v/>
      </c>
      <c r="EB181" s="1022" t="str">
        <f t="shared" si="775"/>
        <v/>
      </c>
      <c r="EC181" s="1020" t="str">
        <f t="shared" si="776"/>
        <v/>
      </c>
      <c r="ED181" s="1017" t="str">
        <f t="shared" si="777"/>
        <v/>
      </c>
      <c r="EE181" s="1021" t="str">
        <f t="shared" si="778"/>
        <v/>
      </c>
      <c r="EF181" s="1029" t="str">
        <f t="shared" si="809"/>
        <v/>
      </c>
      <c r="EG181" s="1028">
        <v>12</v>
      </c>
      <c r="EH181" s="1026" t="str">
        <f t="shared" si="810"/>
        <v/>
      </c>
      <c r="EI181" s="1026" t="str">
        <f t="shared" si="811"/>
        <v/>
      </c>
      <c r="EJ181" s="33"/>
      <c r="EM181" s="750" t="str">
        <f t="shared" si="734"/>
        <v/>
      </c>
      <c r="EN181" s="58" t="str">
        <f t="shared" si="735"/>
        <v/>
      </c>
      <c r="EO181" s="748" t="str">
        <f t="shared" si="736"/>
        <v/>
      </c>
      <c r="EP181" s="751" t="str">
        <f>IF(OR(EN181="",EN181=0),"",IF($EO181&gt;'Quadro 1'!$G$23,'Quadro 1'!$G$23,IF($EO181&lt;'Quadro 1'!$G$10,'Quadro 1'!$G$10,EO181)))</f>
        <v/>
      </c>
      <c r="EQ181" s="33"/>
      <c r="ER181" s="735" t="str">
        <f t="shared" si="737"/>
        <v>Crítico</v>
      </c>
      <c r="ES181" s="741">
        <f t="shared" si="779"/>
        <v>1</v>
      </c>
      <c r="ET181" s="736" t="str">
        <f t="shared" si="738"/>
        <v/>
      </c>
      <c r="EU181" s="33">
        <f t="shared" si="739"/>
        <v>0</v>
      </c>
      <c r="EV181" s="735" t="str">
        <f t="shared" si="740"/>
        <v/>
      </c>
      <c r="EW181" s="741" t="str">
        <f t="shared" si="780"/>
        <v/>
      </c>
      <c r="EX181" s="743" t="str">
        <f t="shared" si="741"/>
        <v/>
      </c>
      <c r="EY181" s="33">
        <v>12</v>
      </c>
      <c r="EZ181" s="735" t="str">
        <f t="shared" si="742"/>
        <v/>
      </c>
      <c r="FA181" s="741" t="str">
        <f t="shared" si="781"/>
        <v/>
      </c>
      <c r="FB181" s="18">
        <f t="shared" si="782"/>
        <v>0</v>
      </c>
      <c r="FC181" s="735" t="str">
        <f t="shared" si="743"/>
        <v/>
      </c>
      <c r="FD181" s="734" t="str">
        <f t="shared" si="783"/>
        <v/>
      </c>
      <c r="FE181" s="1477">
        <f t="shared" si="808"/>
        <v>0</v>
      </c>
      <c r="FF181" s="275" t="str">
        <f t="shared" si="744"/>
        <v/>
      </c>
      <c r="FG181" s="145" t="str">
        <f t="shared" si="745"/>
        <v/>
      </c>
      <c r="FH181" s="726">
        <f t="shared" si="746"/>
        <v>0</v>
      </c>
      <c r="FI181" s="718"/>
      <c r="FJ181" s="701" t="str">
        <f t="shared" si="784"/>
        <v/>
      </c>
      <c r="FK181" s="66">
        <f t="shared" si="747"/>
        <v>0</v>
      </c>
      <c r="FL181" s="717"/>
      <c r="FM181" s="716"/>
      <c r="FN181" s="701" t="str">
        <f t="shared" si="785"/>
        <v/>
      </c>
      <c r="FO181" s="66">
        <f t="shared" si="748"/>
        <v>0</v>
      </c>
      <c r="FP181" s="717"/>
      <c r="FQ181" s="716"/>
      <c r="FR181" s="701" t="str">
        <f t="shared" si="786"/>
        <v/>
      </c>
      <c r="FS181" s="66">
        <f t="shared" si="749"/>
        <v>0</v>
      </c>
      <c r="FT181" s="717"/>
      <c r="FU181" s="716"/>
      <c r="FV181" s="701" t="str">
        <f t="shared" si="787"/>
        <v/>
      </c>
      <c r="FW181" s="66">
        <f t="shared" si="750"/>
        <v>0</v>
      </c>
      <c r="FX181" s="717"/>
      <c r="FY181" s="716"/>
      <c r="FZ181" s="701" t="str">
        <f t="shared" si="788"/>
        <v/>
      </c>
      <c r="GA181" s="66">
        <f t="shared" si="751"/>
        <v>0</v>
      </c>
      <c r="GB181" s="717"/>
      <c r="GC181" s="716"/>
      <c r="GD181" s="701" t="str">
        <f t="shared" si="789"/>
        <v/>
      </c>
      <c r="GE181" s="66">
        <f t="shared" si="752"/>
        <v>0</v>
      </c>
      <c r="GF181" s="717"/>
      <c r="GG181" s="716"/>
      <c r="GH181" s="701" t="str">
        <f t="shared" si="790"/>
        <v/>
      </c>
      <c r="GI181" s="66">
        <f t="shared" si="753"/>
        <v>0</v>
      </c>
      <c r="GJ181" s="717"/>
      <c r="GK181" s="716"/>
      <c r="GL181" s="701" t="str">
        <f t="shared" si="791"/>
        <v/>
      </c>
      <c r="GM181" s="66">
        <f t="shared" si="754"/>
        <v>0</v>
      </c>
      <c r="GN181" s="717"/>
      <c r="GO181" s="716"/>
      <c r="GP181" s="701" t="str">
        <f t="shared" si="792"/>
        <v/>
      </c>
      <c r="GQ181" s="66">
        <f t="shared" si="755"/>
        <v>0</v>
      </c>
      <c r="GR181" s="717"/>
      <c r="GS181" s="716"/>
      <c r="GT181" s="701" t="str">
        <f t="shared" si="793"/>
        <v/>
      </c>
      <c r="GU181" s="66">
        <f t="shared" si="756"/>
        <v>0</v>
      </c>
      <c r="GV181" s="717"/>
      <c r="GW181" s="716"/>
      <c r="GX181" s="701" t="str">
        <f t="shared" si="794"/>
        <v/>
      </c>
      <c r="GY181" s="66">
        <f t="shared" si="757"/>
        <v>0</v>
      </c>
      <c r="GZ181" s="717"/>
      <c r="HA181" s="716"/>
      <c r="HB181" s="701" t="str">
        <f t="shared" si="795"/>
        <v/>
      </c>
      <c r="HC181" s="66">
        <f t="shared" si="758"/>
        <v>0</v>
      </c>
      <c r="HD181" s="717"/>
      <c r="HE181" s="716"/>
      <c r="HF181" s="701" t="str">
        <f t="shared" si="796"/>
        <v/>
      </c>
      <c r="HG181" s="66">
        <f t="shared" si="759"/>
        <v>0</v>
      </c>
      <c r="HH181" s="717"/>
      <c r="HI181" s="716"/>
      <c r="HJ181" s="701" t="str">
        <f t="shared" si="797"/>
        <v/>
      </c>
      <c r="HK181" s="66">
        <f t="shared" si="760"/>
        <v>0</v>
      </c>
      <c r="HL181" s="717"/>
      <c r="HM181" s="716"/>
      <c r="HN181" s="701" t="str">
        <f t="shared" si="798"/>
        <v/>
      </c>
      <c r="HO181" s="66">
        <f t="shared" si="761"/>
        <v>0</v>
      </c>
      <c r="HP181" s="717"/>
      <c r="HQ181" s="716"/>
      <c r="HR181" s="701" t="str">
        <f t="shared" si="799"/>
        <v/>
      </c>
      <c r="HS181" s="66">
        <f t="shared" si="762"/>
        <v>0</v>
      </c>
      <c r="HT181" s="717"/>
      <c r="HU181" s="716"/>
      <c r="HV181" s="701" t="str">
        <f t="shared" si="800"/>
        <v/>
      </c>
      <c r="HW181" s="66">
        <f t="shared" si="763"/>
        <v>0</v>
      </c>
      <c r="HX181" s="717"/>
      <c r="HY181" s="716"/>
      <c r="HZ181" s="701" t="str">
        <f t="shared" si="801"/>
        <v/>
      </c>
      <c r="IA181" s="66">
        <f t="shared" si="764"/>
        <v>0</v>
      </c>
      <c r="IB181" s="717"/>
      <c r="IC181" s="716"/>
      <c r="ID181" s="701" t="str">
        <f t="shared" si="802"/>
        <v/>
      </c>
      <c r="IE181" s="66">
        <f t="shared" si="765"/>
        <v>0</v>
      </c>
      <c r="IF181" s="717"/>
      <c r="IG181" s="716"/>
      <c r="IH181" s="701" t="str">
        <f t="shared" si="803"/>
        <v/>
      </c>
      <c r="II181" s="66">
        <f t="shared" si="766"/>
        <v>0</v>
      </c>
      <c r="IJ181" s="717"/>
      <c r="IK181" s="716"/>
      <c r="IL181" s="701" t="str">
        <f t="shared" si="804"/>
        <v/>
      </c>
      <c r="IM181" s="66">
        <f t="shared" si="767"/>
        <v>0</v>
      </c>
      <c r="IN181" s="717"/>
      <c r="IO181" s="716"/>
      <c r="IP181" s="701" t="str">
        <f t="shared" si="805"/>
        <v/>
      </c>
      <c r="IQ181" s="66">
        <f t="shared" si="768"/>
        <v>0</v>
      </c>
      <c r="IR181" s="717"/>
      <c r="IS181" s="716"/>
      <c r="IT181" s="701" t="str">
        <f t="shared" si="806"/>
        <v/>
      </c>
      <c r="IU181" s="66">
        <f t="shared" si="769"/>
        <v>0</v>
      </c>
      <c r="IV181" s="717"/>
      <c r="IW181" s="716"/>
      <c r="IX181" s="701" t="str">
        <f t="shared" si="807"/>
        <v/>
      </c>
      <c r="IY181" s="66">
        <f t="shared" si="770"/>
        <v>0</v>
      </c>
    </row>
    <row r="182" spans="44:259" ht="13.3" thickTop="1" thickBot="1" x14ac:dyDescent="0.35">
      <c r="AR182" s="1"/>
      <c r="AS182" s="1"/>
      <c r="AX182" s="2"/>
      <c r="DS182" s="33"/>
      <c r="DT182" s="33"/>
      <c r="DU182" s="33"/>
      <c r="DV182" s="33"/>
      <c r="DW182" s="33"/>
      <c r="DX182" s="1047" t="str">
        <f t="shared" si="771"/>
        <v/>
      </c>
      <c r="DY182" s="1019" t="str">
        <f t="shared" si="772"/>
        <v/>
      </c>
      <c r="DZ182" s="1018" t="str">
        <f t="shared" si="773"/>
        <v/>
      </c>
      <c r="EA182" s="1018" t="str">
        <f t="shared" si="774"/>
        <v/>
      </c>
      <c r="EB182" s="1022" t="str">
        <f t="shared" si="775"/>
        <v/>
      </c>
      <c r="EC182" s="1020" t="str">
        <f t="shared" si="776"/>
        <v/>
      </c>
      <c r="ED182" s="1017" t="str">
        <f t="shared" si="777"/>
        <v/>
      </c>
      <c r="EE182" s="1021" t="str">
        <f t="shared" si="778"/>
        <v/>
      </c>
      <c r="EF182" s="1029" t="str">
        <f t="shared" si="809"/>
        <v/>
      </c>
      <c r="EG182" s="1028">
        <v>13</v>
      </c>
      <c r="EH182" s="1026" t="str">
        <f t="shared" si="810"/>
        <v/>
      </c>
      <c r="EI182" s="1026" t="str">
        <f t="shared" si="811"/>
        <v/>
      </c>
      <c r="EJ182" s="33"/>
      <c r="EM182" s="750" t="str">
        <f t="shared" si="734"/>
        <v/>
      </c>
      <c r="EN182" s="58" t="str">
        <f t="shared" si="735"/>
        <v/>
      </c>
      <c r="EO182" s="748" t="str">
        <f t="shared" si="736"/>
        <v/>
      </c>
      <c r="EP182" s="751" t="str">
        <f>IF(OR(EN182="",EN182=0),"",IF($EO182&gt;'Quadro 1'!$G$23,'Quadro 1'!$G$23,IF($EO182&lt;'Quadro 1'!$G$10,'Quadro 1'!$G$10,EO182)))</f>
        <v/>
      </c>
      <c r="EQ182" s="33"/>
      <c r="ER182" s="735" t="str">
        <f t="shared" si="737"/>
        <v>Crítico</v>
      </c>
      <c r="ES182" s="741">
        <f t="shared" si="779"/>
        <v>1</v>
      </c>
      <c r="ET182" s="736" t="str">
        <f t="shared" si="738"/>
        <v/>
      </c>
      <c r="EU182" s="33">
        <f t="shared" si="739"/>
        <v>0</v>
      </c>
      <c r="EV182" s="735" t="str">
        <f t="shared" si="740"/>
        <v/>
      </c>
      <c r="EW182" s="741" t="str">
        <f t="shared" si="780"/>
        <v/>
      </c>
      <c r="EX182" s="743" t="str">
        <f t="shared" si="741"/>
        <v/>
      </c>
      <c r="EY182" s="33">
        <v>13</v>
      </c>
      <c r="EZ182" s="735" t="str">
        <f t="shared" si="742"/>
        <v/>
      </c>
      <c r="FA182" s="741" t="str">
        <f t="shared" si="781"/>
        <v/>
      </c>
      <c r="FB182" s="18">
        <f t="shared" si="782"/>
        <v>0</v>
      </c>
      <c r="FC182" s="735" t="str">
        <f t="shared" si="743"/>
        <v/>
      </c>
      <c r="FD182" s="734" t="str">
        <f t="shared" si="783"/>
        <v/>
      </c>
      <c r="FE182" s="1477">
        <f t="shared" si="808"/>
        <v>0</v>
      </c>
      <c r="FF182" s="275" t="str">
        <f t="shared" si="744"/>
        <v/>
      </c>
      <c r="FG182" s="145" t="str">
        <f t="shared" si="745"/>
        <v/>
      </c>
      <c r="FH182" s="726">
        <f t="shared" si="746"/>
        <v>0</v>
      </c>
      <c r="FI182" s="718"/>
      <c r="FJ182" s="701" t="str">
        <f t="shared" si="784"/>
        <v/>
      </c>
      <c r="FK182" s="66">
        <f t="shared" si="747"/>
        <v>0</v>
      </c>
      <c r="FL182" s="717"/>
      <c r="FM182" s="716"/>
      <c r="FN182" s="701" t="str">
        <f t="shared" si="785"/>
        <v/>
      </c>
      <c r="FO182" s="66">
        <f t="shared" si="748"/>
        <v>0</v>
      </c>
      <c r="FP182" s="717"/>
      <c r="FQ182" s="716"/>
      <c r="FR182" s="701" t="str">
        <f t="shared" si="786"/>
        <v/>
      </c>
      <c r="FS182" s="66">
        <f t="shared" si="749"/>
        <v>0</v>
      </c>
      <c r="FT182" s="717"/>
      <c r="FU182" s="716"/>
      <c r="FV182" s="701" t="str">
        <f t="shared" si="787"/>
        <v/>
      </c>
      <c r="FW182" s="66">
        <f t="shared" si="750"/>
        <v>0</v>
      </c>
      <c r="FX182" s="717"/>
      <c r="FY182" s="716"/>
      <c r="FZ182" s="701" t="str">
        <f t="shared" si="788"/>
        <v/>
      </c>
      <c r="GA182" s="66">
        <f t="shared" si="751"/>
        <v>0</v>
      </c>
      <c r="GB182" s="717"/>
      <c r="GC182" s="716"/>
      <c r="GD182" s="701" t="str">
        <f t="shared" si="789"/>
        <v/>
      </c>
      <c r="GE182" s="66">
        <f t="shared" si="752"/>
        <v>0</v>
      </c>
      <c r="GF182" s="717"/>
      <c r="GG182" s="716"/>
      <c r="GH182" s="701" t="str">
        <f t="shared" si="790"/>
        <v/>
      </c>
      <c r="GI182" s="66">
        <f t="shared" si="753"/>
        <v>0</v>
      </c>
      <c r="GJ182" s="717"/>
      <c r="GK182" s="716"/>
      <c r="GL182" s="701" t="str">
        <f t="shared" si="791"/>
        <v/>
      </c>
      <c r="GM182" s="66">
        <f t="shared" si="754"/>
        <v>0</v>
      </c>
      <c r="GN182" s="717"/>
      <c r="GO182" s="716"/>
      <c r="GP182" s="701" t="str">
        <f t="shared" si="792"/>
        <v/>
      </c>
      <c r="GQ182" s="66">
        <f t="shared" si="755"/>
        <v>0</v>
      </c>
      <c r="GR182" s="717"/>
      <c r="GS182" s="716"/>
      <c r="GT182" s="701" t="str">
        <f t="shared" si="793"/>
        <v/>
      </c>
      <c r="GU182" s="66">
        <f t="shared" si="756"/>
        <v>0</v>
      </c>
      <c r="GV182" s="717"/>
      <c r="GW182" s="716"/>
      <c r="GX182" s="701" t="str">
        <f t="shared" si="794"/>
        <v/>
      </c>
      <c r="GY182" s="66">
        <f t="shared" si="757"/>
        <v>0</v>
      </c>
      <c r="GZ182" s="717"/>
      <c r="HA182" s="716"/>
      <c r="HB182" s="701" t="str">
        <f t="shared" si="795"/>
        <v/>
      </c>
      <c r="HC182" s="66">
        <f t="shared" si="758"/>
        <v>0</v>
      </c>
      <c r="HD182" s="717"/>
      <c r="HE182" s="716"/>
      <c r="HF182" s="701" t="str">
        <f t="shared" si="796"/>
        <v/>
      </c>
      <c r="HG182" s="66">
        <f t="shared" si="759"/>
        <v>0</v>
      </c>
      <c r="HH182" s="717"/>
      <c r="HI182" s="716"/>
      <c r="HJ182" s="701" t="str">
        <f t="shared" si="797"/>
        <v/>
      </c>
      <c r="HK182" s="66">
        <f t="shared" si="760"/>
        <v>0</v>
      </c>
      <c r="HL182" s="717"/>
      <c r="HM182" s="716"/>
      <c r="HN182" s="701" t="str">
        <f t="shared" si="798"/>
        <v/>
      </c>
      <c r="HO182" s="66">
        <f t="shared" si="761"/>
        <v>0</v>
      </c>
      <c r="HP182" s="717"/>
      <c r="HQ182" s="716"/>
      <c r="HR182" s="701" t="str">
        <f t="shared" si="799"/>
        <v/>
      </c>
      <c r="HS182" s="66">
        <f t="shared" si="762"/>
        <v>0</v>
      </c>
      <c r="HT182" s="717"/>
      <c r="HU182" s="716"/>
      <c r="HV182" s="701" t="str">
        <f t="shared" si="800"/>
        <v/>
      </c>
      <c r="HW182" s="66">
        <f t="shared" si="763"/>
        <v>0</v>
      </c>
      <c r="HX182" s="717"/>
      <c r="HY182" s="716"/>
      <c r="HZ182" s="701" t="str">
        <f t="shared" si="801"/>
        <v/>
      </c>
      <c r="IA182" s="66">
        <f t="shared" si="764"/>
        <v>0</v>
      </c>
      <c r="IB182" s="717"/>
      <c r="IC182" s="716"/>
      <c r="ID182" s="701" t="str">
        <f t="shared" si="802"/>
        <v/>
      </c>
      <c r="IE182" s="66">
        <f t="shared" si="765"/>
        <v>0</v>
      </c>
      <c r="IF182" s="717"/>
      <c r="IG182" s="716"/>
      <c r="IH182" s="701" t="str">
        <f t="shared" si="803"/>
        <v/>
      </c>
      <c r="II182" s="66">
        <f t="shared" si="766"/>
        <v>0</v>
      </c>
      <c r="IJ182" s="717"/>
      <c r="IK182" s="716"/>
      <c r="IL182" s="701" t="str">
        <f t="shared" si="804"/>
        <v/>
      </c>
      <c r="IM182" s="66">
        <f t="shared" si="767"/>
        <v>0</v>
      </c>
      <c r="IN182" s="717"/>
      <c r="IO182" s="716"/>
      <c r="IP182" s="701" t="str">
        <f t="shared" si="805"/>
        <v/>
      </c>
      <c r="IQ182" s="66">
        <f t="shared" si="768"/>
        <v>0</v>
      </c>
      <c r="IR182" s="717"/>
      <c r="IS182" s="716"/>
      <c r="IT182" s="701" t="str">
        <f t="shared" si="806"/>
        <v/>
      </c>
      <c r="IU182" s="66">
        <f t="shared" si="769"/>
        <v>0</v>
      </c>
      <c r="IV182" s="717"/>
      <c r="IW182" s="716"/>
      <c r="IX182" s="701" t="str">
        <f t="shared" si="807"/>
        <v/>
      </c>
      <c r="IY182" s="66">
        <f t="shared" si="770"/>
        <v>0</v>
      </c>
    </row>
    <row r="183" spans="44:259" ht="13.3" thickTop="1" thickBot="1" x14ac:dyDescent="0.35">
      <c r="AR183" s="1"/>
      <c r="AS183" s="1"/>
      <c r="AX183" s="2"/>
      <c r="DS183" s="33"/>
      <c r="DT183" s="33"/>
      <c r="DU183" s="33"/>
      <c r="DV183" s="33"/>
      <c r="DW183" s="33"/>
      <c r="DX183" s="1047" t="str">
        <f t="shared" si="771"/>
        <v/>
      </c>
      <c r="DY183" s="1019" t="str">
        <f t="shared" si="772"/>
        <v/>
      </c>
      <c r="DZ183" s="1018" t="str">
        <f t="shared" si="773"/>
        <v/>
      </c>
      <c r="EA183" s="1018" t="str">
        <f t="shared" si="774"/>
        <v/>
      </c>
      <c r="EB183" s="1022" t="str">
        <f t="shared" si="775"/>
        <v/>
      </c>
      <c r="EC183" s="1020" t="str">
        <f t="shared" si="776"/>
        <v/>
      </c>
      <c r="ED183" s="1017" t="str">
        <f t="shared" si="777"/>
        <v/>
      </c>
      <c r="EE183" s="1021" t="str">
        <f t="shared" si="778"/>
        <v/>
      </c>
      <c r="EF183" s="1029" t="str">
        <f t="shared" si="809"/>
        <v/>
      </c>
      <c r="EG183" s="1028">
        <v>14</v>
      </c>
      <c r="EH183" s="1026" t="str">
        <f t="shared" si="810"/>
        <v/>
      </c>
      <c r="EI183" s="1026" t="str">
        <f t="shared" si="811"/>
        <v/>
      </c>
      <c r="EJ183" s="33"/>
      <c r="EM183" s="750" t="str">
        <f t="shared" si="734"/>
        <v/>
      </c>
      <c r="EN183" s="58" t="str">
        <f t="shared" si="735"/>
        <v/>
      </c>
      <c r="EO183" s="748" t="str">
        <f t="shared" si="736"/>
        <v/>
      </c>
      <c r="EP183" s="751" t="str">
        <f>IF(OR(EN183="",EN183=0),"",IF($EO183&gt;'Quadro 1'!$G$23,'Quadro 1'!$G$23,IF($EO183&lt;'Quadro 1'!$G$10,'Quadro 1'!$G$10,EO183)))</f>
        <v/>
      </c>
      <c r="EQ183" s="33"/>
      <c r="ER183" s="735" t="str">
        <f t="shared" si="737"/>
        <v>Crítico</v>
      </c>
      <c r="ES183" s="741">
        <f t="shared" si="779"/>
        <v>1</v>
      </c>
      <c r="ET183" s="736" t="str">
        <f t="shared" si="738"/>
        <v/>
      </c>
      <c r="EU183" s="33">
        <f t="shared" si="739"/>
        <v>0</v>
      </c>
      <c r="EV183" s="735" t="str">
        <f t="shared" si="740"/>
        <v/>
      </c>
      <c r="EW183" s="741" t="str">
        <f t="shared" si="780"/>
        <v/>
      </c>
      <c r="EX183" s="743" t="str">
        <f t="shared" si="741"/>
        <v/>
      </c>
      <c r="EY183" s="33">
        <v>14</v>
      </c>
      <c r="EZ183" s="735" t="str">
        <f t="shared" si="742"/>
        <v/>
      </c>
      <c r="FA183" s="741" t="str">
        <f t="shared" si="781"/>
        <v/>
      </c>
      <c r="FB183" s="18">
        <f t="shared" si="782"/>
        <v>0</v>
      </c>
      <c r="FC183" s="735" t="str">
        <f t="shared" si="743"/>
        <v/>
      </c>
      <c r="FD183" s="734" t="str">
        <f t="shared" si="783"/>
        <v/>
      </c>
      <c r="FE183" s="1477">
        <f t="shared" si="808"/>
        <v>0</v>
      </c>
      <c r="FF183" s="275" t="str">
        <f t="shared" si="744"/>
        <v/>
      </c>
      <c r="FG183" s="145" t="str">
        <f t="shared" si="745"/>
        <v/>
      </c>
      <c r="FH183" s="726">
        <f t="shared" si="746"/>
        <v>0</v>
      </c>
      <c r="FI183" s="718"/>
      <c r="FJ183" s="701" t="str">
        <f t="shared" si="784"/>
        <v/>
      </c>
      <c r="FK183" s="66">
        <f t="shared" si="747"/>
        <v>0</v>
      </c>
      <c r="FL183" s="717"/>
      <c r="FM183" s="716"/>
      <c r="FN183" s="701" t="str">
        <f t="shared" si="785"/>
        <v/>
      </c>
      <c r="FO183" s="66">
        <f t="shared" si="748"/>
        <v>0</v>
      </c>
      <c r="FP183" s="717"/>
      <c r="FQ183" s="716"/>
      <c r="FR183" s="701" t="str">
        <f t="shared" si="786"/>
        <v/>
      </c>
      <c r="FS183" s="66">
        <f t="shared" si="749"/>
        <v>0</v>
      </c>
      <c r="FT183" s="717"/>
      <c r="FU183" s="716"/>
      <c r="FV183" s="701" t="str">
        <f t="shared" si="787"/>
        <v/>
      </c>
      <c r="FW183" s="66">
        <f t="shared" si="750"/>
        <v>0</v>
      </c>
      <c r="FX183" s="717"/>
      <c r="FY183" s="716"/>
      <c r="FZ183" s="701" t="str">
        <f t="shared" si="788"/>
        <v/>
      </c>
      <c r="GA183" s="66">
        <f t="shared" si="751"/>
        <v>0</v>
      </c>
      <c r="GB183" s="717"/>
      <c r="GC183" s="716"/>
      <c r="GD183" s="701" t="str">
        <f t="shared" si="789"/>
        <v/>
      </c>
      <c r="GE183" s="66">
        <f t="shared" si="752"/>
        <v>0</v>
      </c>
      <c r="GF183" s="717"/>
      <c r="GG183" s="716"/>
      <c r="GH183" s="701" t="str">
        <f t="shared" si="790"/>
        <v/>
      </c>
      <c r="GI183" s="66">
        <f t="shared" si="753"/>
        <v>0</v>
      </c>
      <c r="GJ183" s="717"/>
      <c r="GK183" s="716"/>
      <c r="GL183" s="701" t="str">
        <f t="shared" si="791"/>
        <v/>
      </c>
      <c r="GM183" s="66">
        <f t="shared" si="754"/>
        <v>0</v>
      </c>
      <c r="GN183" s="717"/>
      <c r="GO183" s="716"/>
      <c r="GP183" s="701" t="str">
        <f t="shared" si="792"/>
        <v/>
      </c>
      <c r="GQ183" s="66">
        <f t="shared" si="755"/>
        <v>0</v>
      </c>
      <c r="GR183" s="717"/>
      <c r="GS183" s="716"/>
      <c r="GT183" s="701" t="str">
        <f t="shared" si="793"/>
        <v/>
      </c>
      <c r="GU183" s="66">
        <f t="shared" si="756"/>
        <v>0</v>
      </c>
      <c r="GV183" s="717"/>
      <c r="GW183" s="716"/>
      <c r="GX183" s="701" t="str">
        <f t="shared" si="794"/>
        <v/>
      </c>
      <c r="GY183" s="66">
        <f t="shared" si="757"/>
        <v>0</v>
      </c>
      <c r="GZ183" s="717"/>
      <c r="HA183" s="716"/>
      <c r="HB183" s="701" t="str">
        <f t="shared" si="795"/>
        <v/>
      </c>
      <c r="HC183" s="66">
        <f t="shared" si="758"/>
        <v>0</v>
      </c>
      <c r="HD183" s="717"/>
      <c r="HE183" s="716"/>
      <c r="HF183" s="701" t="str">
        <f t="shared" si="796"/>
        <v/>
      </c>
      <c r="HG183" s="66">
        <f t="shared" si="759"/>
        <v>0</v>
      </c>
      <c r="HH183" s="717"/>
      <c r="HI183" s="716"/>
      <c r="HJ183" s="701" t="str">
        <f t="shared" si="797"/>
        <v/>
      </c>
      <c r="HK183" s="66">
        <f t="shared" si="760"/>
        <v>0</v>
      </c>
      <c r="HL183" s="717"/>
      <c r="HM183" s="716"/>
      <c r="HN183" s="701" t="str">
        <f t="shared" si="798"/>
        <v/>
      </c>
      <c r="HO183" s="66">
        <f t="shared" si="761"/>
        <v>0</v>
      </c>
      <c r="HP183" s="717"/>
      <c r="HQ183" s="716"/>
      <c r="HR183" s="701" t="str">
        <f t="shared" si="799"/>
        <v/>
      </c>
      <c r="HS183" s="66">
        <f t="shared" si="762"/>
        <v>0</v>
      </c>
      <c r="HT183" s="717"/>
      <c r="HU183" s="716"/>
      <c r="HV183" s="701" t="str">
        <f t="shared" si="800"/>
        <v/>
      </c>
      <c r="HW183" s="66">
        <f t="shared" si="763"/>
        <v>0</v>
      </c>
      <c r="HX183" s="717"/>
      <c r="HY183" s="716"/>
      <c r="HZ183" s="701" t="str">
        <f t="shared" si="801"/>
        <v/>
      </c>
      <c r="IA183" s="66">
        <f t="shared" si="764"/>
        <v>0</v>
      </c>
      <c r="IB183" s="717"/>
      <c r="IC183" s="716"/>
      <c r="ID183" s="701" t="str">
        <f t="shared" si="802"/>
        <v/>
      </c>
      <c r="IE183" s="66">
        <f t="shared" si="765"/>
        <v>0</v>
      </c>
      <c r="IF183" s="717"/>
      <c r="IG183" s="716"/>
      <c r="IH183" s="701" t="str">
        <f t="shared" si="803"/>
        <v/>
      </c>
      <c r="II183" s="66">
        <f t="shared" si="766"/>
        <v>0</v>
      </c>
      <c r="IJ183" s="717"/>
      <c r="IK183" s="716"/>
      <c r="IL183" s="701" t="str">
        <f t="shared" si="804"/>
        <v/>
      </c>
      <c r="IM183" s="66">
        <f t="shared" si="767"/>
        <v>0</v>
      </c>
      <c r="IN183" s="717"/>
      <c r="IO183" s="716"/>
      <c r="IP183" s="701" t="str">
        <f t="shared" si="805"/>
        <v/>
      </c>
      <c r="IQ183" s="66">
        <f t="shared" si="768"/>
        <v>0</v>
      </c>
      <c r="IR183" s="717"/>
      <c r="IS183" s="716"/>
      <c r="IT183" s="701" t="str">
        <f t="shared" si="806"/>
        <v/>
      </c>
      <c r="IU183" s="66">
        <f t="shared" si="769"/>
        <v>0</v>
      </c>
      <c r="IV183" s="717"/>
      <c r="IW183" s="716"/>
      <c r="IX183" s="701" t="str">
        <f t="shared" si="807"/>
        <v/>
      </c>
      <c r="IY183" s="66">
        <f t="shared" si="770"/>
        <v>0</v>
      </c>
    </row>
    <row r="184" spans="44:259" ht="13.3" thickTop="1" thickBot="1" x14ac:dyDescent="0.35">
      <c r="AR184" s="1"/>
      <c r="AS184" s="1"/>
      <c r="AX184" s="2"/>
      <c r="DS184" s="33"/>
      <c r="DT184" s="33"/>
      <c r="DU184" s="33"/>
      <c r="DV184" s="33"/>
      <c r="DW184" s="33"/>
      <c r="DX184" s="1047" t="str">
        <f t="shared" si="771"/>
        <v/>
      </c>
      <c r="DY184" s="1019" t="str">
        <f t="shared" si="772"/>
        <v/>
      </c>
      <c r="DZ184" s="1018" t="str">
        <f t="shared" si="773"/>
        <v/>
      </c>
      <c r="EA184" s="1018" t="str">
        <f t="shared" si="774"/>
        <v/>
      </c>
      <c r="EB184" s="1022" t="str">
        <f t="shared" si="775"/>
        <v/>
      </c>
      <c r="EC184" s="1020" t="str">
        <f t="shared" si="776"/>
        <v/>
      </c>
      <c r="ED184" s="1017" t="str">
        <f t="shared" si="777"/>
        <v/>
      </c>
      <c r="EE184" s="1021" t="str">
        <f t="shared" si="778"/>
        <v/>
      </c>
      <c r="EF184" s="1029" t="str">
        <f t="shared" si="809"/>
        <v/>
      </c>
      <c r="EG184" s="1028">
        <v>15</v>
      </c>
      <c r="EH184" s="1026" t="str">
        <f t="shared" si="810"/>
        <v/>
      </c>
      <c r="EI184" s="1026" t="str">
        <f t="shared" si="811"/>
        <v/>
      </c>
      <c r="EJ184" s="33"/>
      <c r="EM184" s="750" t="str">
        <f t="shared" si="734"/>
        <v/>
      </c>
      <c r="EN184" s="58" t="str">
        <f t="shared" si="735"/>
        <v/>
      </c>
      <c r="EO184" s="748" t="str">
        <f t="shared" si="736"/>
        <v/>
      </c>
      <c r="EP184" s="751" t="str">
        <f>IF(OR(EN184="",EN184=0),"",IF($EO184&gt;'Quadro 1'!$G$23,'Quadro 1'!$G$23,IF($EO184&lt;'Quadro 1'!$G$10,'Quadro 1'!$G$10,EO184)))</f>
        <v/>
      </c>
      <c r="EQ184" s="33"/>
      <c r="ER184" s="735" t="str">
        <f t="shared" si="737"/>
        <v>Crítico</v>
      </c>
      <c r="ES184" s="741">
        <f t="shared" si="779"/>
        <v>1</v>
      </c>
      <c r="ET184" s="736" t="str">
        <f t="shared" si="738"/>
        <v/>
      </c>
      <c r="EU184" s="33">
        <f t="shared" si="739"/>
        <v>0</v>
      </c>
      <c r="EV184" s="735" t="str">
        <f t="shared" si="740"/>
        <v/>
      </c>
      <c r="EW184" s="741" t="str">
        <f t="shared" si="780"/>
        <v/>
      </c>
      <c r="EX184" s="743" t="str">
        <f t="shared" si="741"/>
        <v/>
      </c>
      <c r="EY184" s="33">
        <v>15</v>
      </c>
      <c r="EZ184" s="735" t="str">
        <f t="shared" si="742"/>
        <v/>
      </c>
      <c r="FA184" s="741" t="str">
        <f t="shared" si="781"/>
        <v/>
      </c>
      <c r="FB184" s="18">
        <f t="shared" si="782"/>
        <v>0</v>
      </c>
      <c r="FC184" s="735" t="str">
        <f t="shared" si="743"/>
        <v/>
      </c>
      <c r="FD184" s="734" t="str">
        <f t="shared" si="783"/>
        <v/>
      </c>
      <c r="FE184" s="1477">
        <f t="shared" si="808"/>
        <v>0</v>
      </c>
      <c r="FF184" s="275" t="str">
        <f t="shared" si="744"/>
        <v/>
      </c>
      <c r="FG184" s="145" t="str">
        <f t="shared" si="745"/>
        <v/>
      </c>
      <c r="FH184" s="726">
        <f t="shared" si="746"/>
        <v>0</v>
      </c>
      <c r="FI184" s="718"/>
      <c r="FJ184" s="701" t="str">
        <f t="shared" si="784"/>
        <v/>
      </c>
      <c r="FK184" s="66">
        <f t="shared" si="747"/>
        <v>0</v>
      </c>
      <c r="FL184" s="717"/>
      <c r="FM184" s="716"/>
      <c r="FN184" s="701" t="str">
        <f t="shared" si="785"/>
        <v/>
      </c>
      <c r="FO184" s="66">
        <f t="shared" si="748"/>
        <v>0</v>
      </c>
      <c r="FP184" s="717"/>
      <c r="FQ184" s="716"/>
      <c r="FR184" s="701" t="str">
        <f t="shared" si="786"/>
        <v/>
      </c>
      <c r="FS184" s="66">
        <f t="shared" si="749"/>
        <v>0</v>
      </c>
      <c r="FT184" s="717"/>
      <c r="FU184" s="716"/>
      <c r="FV184" s="701" t="str">
        <f t="shared" si="787"/>
        <v/>
      </c>
      <c r="FW184" s="66">
        <f t="shared" si="750"/>
        <v>0</v>
      </c>
      <c r="FX184" s="717"/>
      <c r="FY184" s="716"/>
      <c r="FZ184" s="701" t="str">
        <f t="shared" si="788"/>
        <v/>
      </c>
      <c r="GA184" s="66">
        <f t="shared" si="751"/>
        <v>0</v>
      </c>
      <c r="GB184" s="717"/>
      <c r="GC184" s="716"/>
      <c r="GD184" s="701" t="str">
        <f t="shared" si="789"/>
        <v/>
      </c>
      <c r="GE184" s="66">
        <f t="shared" si="752"/>
        <v>0</v>
      </c>
      <c r="GF184" s="717"/>
      <c r="GG184" s="716"/>
      <c r="GH184" s="701" t="str">
        <f t="shared" si="790"/>
        <v/>
      </c>
      <c r="GI184" s="66">
        <f t="shared" si="753"/>
        <v>0</v>
      </c>
      <c r="GJ184" s="717"/>
      <c r="GK184" s="716"/>
      <c r="GL184" s="701" t="str">
        <f t="shared" si="791"/>
        <v/>
      </c>
      <c r="GM184" s="66">
        <f t="shared" si="754"/>
        <v>0</v>
      </c>
      <c r="GN184" s="717"/>
      <c r="GO184" s="716"/>
      <c r="GP184" s="701" t="str">
        <f t="shared" si="792"/>
        <v/>
      </c>
      <c r="GQ184" s="66">
        <f t="shared" si="755"/>
        <v>0</v>
      </c>
      <c r="GR184" s="717"/>
      <c r="GS184" s="716"/>
      <c r="GT184" s="701" t="str">
        <f t="shared" si="793"/>
        <v/>
      </c>
      <c r="GU184" s="66">
        <f t="shared" si="756"/>
        <v>0</v>
      </c>
      <c r="GV184" s="717"/>
      <c r="GW184" s="716"/>
      <c r="GX184" s="701" t="str">
        <f t="shared" si="794"/>
        <v/>
      </c>
      <c r="GY184" s="66">
        <f t="shared" si="757"/>
        <v>0</v>
      </c>
      <c r="GZ184" s="717"/>
      <c r="HA184" s="716"/>
      <c r="HB184" s="701" t="str">
        <f t="shared" si="795"/>
        <v/>
      </c>
      <c r="HC184" s="66">
        <f t="shared" si="758"/>
        <v>0</v>
      </c>
      <c r="HD184" s="717"/>
      <c r="HE184" s="716"/>
      <c r="HF184" s="701" t="str">
        <f t="shared" si="796"/>
        <v/>
      </c>
      <c r="HG184" s="66">
        <f t="shared" si="759"/>
        <v>0</v>
      </c>
      <c r="HH184" s="717"/>
      <c r="HI184" s="716"/>
      <c r="HJ184" s="701" t="str">
        <f t="shared" si="797"/>
        <v/>
      </c>
      <c r="HK184" s="66">
        <f t="shared" si="760"/>
        <v>0</v>
      </c>
      <c r="HL184" s="717"/>
      <c r="HM184" s="716"/>
      <c r="HN184" s="701" t="str">
        <f t="shared" si="798"/>
        <v/>
      </c>
      <c r="HO184" s="66">
        <f t="shared" si="761"/>
        <v>0</v>
      </c>
      <c r="HP184" s="717"/>
      <c r="HQ184" s="716"/>
      <c r="HR184" s="701" t="str">
        <f t="shared" si="799"/>
        <v/>
      </c>
      <c r="HS184" s="66">
        <f t="shared" si="762"/>
        <v>0</v>
      </c>
      <c r="HT184" s="717"/>
      <c r="HU184" s="716"/>
      <c r="HV184" s="701" t="str">
        <f t="shared" si="800"/>
        <v/>
      </c>
      <c r="HW184" s="66">
        <f t="shared" si="763"/>
        <v>0</v>
      </c>
      <c r="HX184" s="717"/>
      <c r="HY184" s="716"/>
      <c r="HZ184" s="701" t="str">
        <f t="shared" si="801"/>
        <v/>
      </c>
      <c r="IA184" s="66">
        <f t="shared" si="764"/>
        <v>0</v>
      </c>
      <c r="IB184" s="717"/>
      <c r="IC184" s="716"/>
      <c r="ID184" s="701" t="str">
        <f t="shared" si="802"/>
        <v/>
      </c>
      <c r="IE184" s="66">
        <f t="shared" si="765"/>
        <v>0</v>
      </c>
      <c r="IF184" s="717"/>
      <c r="IG184" s="716"/>
      <c r="IH184" s="701" t="str">
        <f t="shared" si="803"/>
        <v/>
      </c>
      <c r="II184" s="66">
        <f t="shared" si="766"/>
        <v>0</v>
      </c>
      <c r="IJ184" s="717"/>
      <c r="IK184" s="716"/>
      <c r="IL184" s="701" t="str">
        <f t="shared" si="804"/>
        <v/>
      </c>
      <c r="IM184" s="66">
        <f t="shared" si="767"/>
        <v>0</v>
      </c>
      <c r="IN184" s="717"/>
      <c r="IO184" s="716"/>
      <c r="IP184" s="701" t="str">
        <f t="shared" si="805"/>
        <v/>
      </c>
      <c r="IQ184" s="66">
        <f t="shared" si="768"/>
        <v>0</v>
      </c>
      <c r="IR184" s="717"/>
      <c r="IS184" s="716"/>
      <c r="IT184" s="701" t="str">
        <f t="shared" si="806"/>
        <v/>
      </c>
      <c r="IU184" s="66">
        <f t="shared" si="769"/>
        <v>0</v>
      </c>
      <c r="IV184" s="717"/>
      <c r="IW184" s="716"/>
      <c r="IX184" s="701" t="str">
        <f t="shared" si="807"/>
        <v/>
      </c>
      <c r="IY184" s="66">
        <f t="shared" si="770"/>
        <v>0</v>
      </c>
    </row>
    <row r="185" spans="44:259" ht="13.3" thickTop="1" thickBot="1" x14ac:dyDescent="0.35">
      <c r="AR185" s="1"/>
      <c r="AS185" s="1"/>
      <c r="AX185" s="2"/>
      <c r="DS185" s="33"/>
      <c r="DT185" s="33"/>
      <c r="DU185" s="33"/>
      <c r="DV185" s="33"/>
      <c r="DW185" s="33"/>
      <c r="DX185" s="1047" t="str">
        <f t="shared" si="771"/>
        <v/>
      </c>
      <c r="DY185" s="1019" t="str">
        <f t="shared" si="772"/>
        <v/>
      </c>
      <c r="DZ185" s="1018" t="str">
        <f t="shared" si="773"/>
        <v/>
      </c>
      <c r="EA185" s="1018" t="str">
        <f t="shared" si="774"/>
        <v/>
      </c>
      <c r="EB185" s="1022" t="str">
        <f t="shared" si="775"/>
        <v/>
      </c>
      <c r="EC185" s="1020" t="str">
        <f t="shared" si="776"/>
        <v/>
      </c>
      <c r="ED185" s="1017" t="str">
        <f t="shared" si="777"/>
        <v/>
      </c>
      <c r="EE185" s="1021" t="str">
        <f t="shared" si="778"/>
        <v/>
      </c>
      <c r="EF185" s="1029" t="str">
        <f t="shared" si="809"/>
        <v/>
      </c>
      <c r="EG185" s="1028">
        <v>16</v>
      </c>
      <c r="EH185" s="1026" t="str">
        <f t="shared" si="810"/>
        <v/>
      </c>
      <c r="EI185" s="1026" t="str">
        <f t="shared" si="811"/>
        <v/>
      </c>
      <c r="EJ185" s="33"/>
      <c r="EM185" s="750" t="str">
        <f t="shared" si="734"/>
        <v/>
      </c>
      <c r="EN185" s="58" t="str">
        <f t="shared" si="735"/>
        <v/>
      </c>
      <c r="EO185" s="748" t="str">
        <f t="shared" si="736"/>
        <v/>
      </c>
      <c r="EP185" s="751" t="str">
        <f>IF(OR(EN185="",EN185=0),"",IF($EO185&gt;'Quadro 1'!$G$23,'Quadro 1'!$G$23,IF($EO185&lt;'Quadro 1'!$G$10,'Quadro 1'!$G$10,EO185)))</f>
        <v/>
      </c>
      <c r="EQ185" s="33"/>
      <c r="ER185" s="735" t="str">
        <f t="shared" si="737"/>
        <v>Crítico</v>
      </c>
      <c r="ES185" s="741">
        <f t="shared" si="779"/>
        <v>1</v>
      </c>
      <c r="ET185" s="736" t="str">
        <f t="shared" si="738"/>
        <v/>
      </c>
      <c r="EU185" s="33">
        <f t="shared" si="739"/>
        <v>0</v>
      </c>
      <c r="EV185" s="735" t="str">
        <f t="shared" si="740"/>
        <v/>
      </c>
      <c r="EW185" s="741" t="str">
        <f t="shared" si="780"/>
        <v/>
      </c>
      <c r="EX185" s="743" t="str">
        <f t="shared" si="741"/>
        <v/>
      </c>
      <c r="EY185" s="33">
        <v>16</v>
      </c>
      <c r="EZ185" s="735" t="str">
        <f t="shared" si="742"/>
        <v/>
      </c>
      <c r="FA185" s="741" t="str">
        <f t="shared" si="781"/>
        <v/>
      </c>
      <c r="FB185" s="18">
        <f t="shared" si="782"/>
        <v>0</v>
      </c>
      <c r="FC185" s="735" t="str">
        <f t="shared" si="743"/>
        <v/>
      </c>
      <c r="FD185" s="734" t="str">
        <f t="shared" si="783"/>
        <v/>
      </c>
      <c r="FE185" s="1477">
        <f t="shared" si="808"/>
        <v>0</v>
      </c>
      <c r="FF185" s="275" t="str">
        <f t="shared" si="744"/>
        <v/>
      </c>
      <c r="FG185" s="145" t="str">
        <f t="shared" si="745"/>
        <v/>
      </c>
      <c r="FH185" s="726">
        <f t="shared" si="746"/>
        <v>0</v>
      </c>
      <c r="FI185" s="718"/>
      <c r="FJ185" s="701" t="str">
        <f t="shared" si="784"/>
        <v/>
      </c>
      <c r="FK185" s="66">
        <f t="shared" si="747"/>
        <v>0</v>
      </c>
      <c r="FL185" s="717"/>
      <c r="FM185" s="716"/>
      <c r="FN185" s="701" t="str">
        <f t="shared" si="785"/>
        <v/>
      </c>
      <c r="FO185" s="66">
        <f t="shared" si="748"/>
        <v>0</v>
      </c>
      <c r="FP185" s="717"/>
      <c r="FQ185" s="716"/>
      <c r="FR185" s="701" t="str">
        <f t="shared" si="786"/>
        <v/>
      </c>
      <c r="FS185" s="66">
        <f t="shared" si="749"/>
        <v>0</v>
      </c>
      <c r="FT185" s="717"/>
      <c r="FU185" s="716"/>
      <c r="FV185" s="701" t="str">
        <f t="shared" si="787"/>
        <v/>
      </c>
      <c r="FW185" s="66">
        <f t="shared" si="750"/>
        <v>0</v>
      </c>
      <c r="FX185" s="717"/>
      <c r="FY185" s="716"/>
      <c r="FZ185" s="701" t="str">
        <f t="shared" si="788"/>
        <v/>
      </c>
      <c r="GA185" s="66">
        <f t="shared" si="751"/>
        <v>0</v>
      </c>
      <c r="GB185" s="717"/>
      <c r="GC185" s="716"/>
      <c r="GD185" s="701" t="str">
        <f t="shared" si="789"/>
        <v/>
      </c>
      <c r="GE185" s="66">
        <f t="shared" si="752"/>
        <v>0</v>
      </c>
      <c r="GF185" s="717"/>
      <c r="GG185" s="716"/>
      <c r="GH185" s="701" t="str">
        <f t="shared" si="790"/>
        <v/>
      </c>
      <c r="GI185" s="66">
        <f t="shared" si="753"/>
        <v>0</v>
      </c>
      <c r="GJ185" s="717"/>
      <c r="GK185" s="716"/>
      <c r="GL185" s="701" t="str">
        <f t="shared" si="791"/>
        <v/>
      </c>
      <c r="GM185" s="66">
        <f t="shared" si="754"/>
        <v>0</v>
      </c>
      <c r="GN185" s="717"/>
      <c r="GO185" s="716"/>
      <c r="GP185" s="701" t="str">
        <f t="shared" si="792"/>
        <v/>
      </c>
      <c r="GQ185" s="66">
        <f t="shared" si="755"/>
        <v>0</v>
      </c>
      <c r="GR185" s="717"/>
      <c r="GS185" s="716"/>
      <c r="GT185" s="701" t="str">
        <f t="shared" si="793"/>
        <v/>
      </c>
      <c r="GU185" s="66">
        <f t="shared" si="756"/>
        <v>0</v>
      </c>
      <c r="GV185" s="717"/>
      <c r="GW185" s="716"/>
      <c r="GX185" s="701" t="str">
        <f t="shared" si="794"/>
        <v/>
      </c>
      <c r="GY185" s="66">
        <f t="shared" si="757"/>
        <v>0</v>
      </c>
      <c r="GZ185" s="717"/>
      <c r="HA185" s="716"/>
      <c r="HB185" s="701" t="str">
        <f t="shared" si="795"/>
        <v/>
      </c>
      <c r="HC185" s="66">
        <f t="shared" si="758"/>
        <v>0</v>
      </c>
      <c r="HD185" s="717"/>
      <c r="HE185" s="716"/>
      <c r="HF185" s="701" t="str">
        <f t="shared" si="796"/>
        <v/>
      </c>
      <c r="HG185" s="66">
        <f t="shared" si="759"/>
        <v>0</v>
      </c>
      <c r="HH185" s="717"/>
      <c r="HI185" s="716"/>
      <c r="HJ185" s="701" t="str">
        <f t="shared" si="797"/>
        <v/>
      </c>
      <c r="HK185" s="66">
        <f t="shared" si="760"/>
        <v>0</v>
      </c>
      <c r="HL185" s="717"/>
      <c r="HM185" s="716"/>
      <c r="HN185" s="701" t="str">
        <f t="shared" si="798"/>
        <v/>
      </c>
      <c r="HO185" s="66">
        <f t="shared" si="761"/>
        <v>0</v>
      </c>
      <c r="HP185" s="717"/>
      <c r="HQ185" s="716"/>
      <c r="HR185" s="701" t="str">
        <f t="shared" si="799"/>
        <v/>
      </c>
      <c r="HS185" s="66">
        <f t="shared" si="762"/>
        <v>0</v>
      </c>
      <c r="HT185" s="717"/>
      <c r="HU185" s="716"/>
      <c r="HV185" s="701" t="str">
        <f t="shared" si="800"/>
        <v/>
      </c>
      <c r="HW185" s="66">
        <f t="shared" si="763"/>
        <v>0</v>
      </c>
      <c r="HX185" s="717"/>
      <c r="HY185" s="716"/>
      <c r="HZ185" s="701" t="str">
        <f t="shared" si="801"/>
        <v/>
      </c>
      <c r="IA185" s="66">
        <f t="shared" si="764"/>
        <v>0</v>
      </c>
      <c r="IB185" s="717"/>
      <c r="IC185" s="716"/>
      <c r="ID185" s="701" t="str">
        <f t="shared" si="802"/>
        <v/>
      </c>
      <c r="IE185" s="66">
        <f t="shared" si="765"/>
        <v>0</v>
      </c>
      <c r="IF185" s="717"/>
      <c r="IG185" s="716"/>
      <c r="IH185" s="701" t="str">
        <f t="shared" si="803"/>
        <v/>
      </c>
      <c r="II185" s="66">
        <f t="shared" si="766"/>
        <v>0</v>
      </c>
      <c r="IJ185" s="717"/>
      <c r="IK185" s="716"/>
      <c r="IL185" s="701" t="str">
        <f t="shared" si="804"/>
        <v/>
      </c>
      <c r="IM185" s="66">
        <f t="shared" si="767"/>
        <v>0</v>
      </c>
      <c r="IN185" s="717"/>
      <c r="IO185" s="716"/>
      <c r="IP185" s="701" t="str">
        <f t="shared" si="805"/>
        <v/>
      </c>
      <c r="IQ185" s="66">
        <f t="shared" si="768"/>
        <v>0</v>
      </c>
      <c r="IR185" s="717"/>
      <c r="IS185" s="716"/>
      <c r="IT185" s="701" t="str">
        <f t="shared" si="806"/>
        <v/>
      </c>
      <c r="IU185" s="66">
        <f t="shared" si="769"/>
        <v>0</v>
      </c>
      <c r="IV185" s="717"/>
      <c r="IW185" s="716"/>
      <c r="IX185" s="701" t="str">
        <f t="shared" si="807"/>
        <v/>
      </c>
      <c r="IY185" s="66">
        <f t="shared" si="770"/>
        <v>0</v>
      </c>
    </row>
    <row r="186" spans="44:259" ht="13.3" thickTop="1" thickBot="1" x14ac:dyDescent="0.35">
      <c r="AR186" s="1"/>
      <c r="AS186" s="1"/>
      <c r="AX186" s="2"/>
      <c r="DS186" s="33"/>
      <c r="DT186" s="33"/>
      <c r="DU186" s="33"/>
      <c r="DV186" s="33"/>
      <c r="DW186" s="33"/>
      <c r="DX186" s="1047" t="str">
        <f t="shared" si="771"/>
        <v/>
      </c>
      <c r="DY186" s="1019" t="str">
        <f t="shared" si="772"/>
        <v/>
      </c>
      <c r="DZ186" s="1018" t="str">
        <f t="shared" si="773"/>
        <v/>
      </c>
      <c r="EA186" s="1018" t="str">
        <f t="shared" si="774"/>
        <v/>
      </c>
      <c r="EB186" s="1022" t="str">
        <f t="shared" si="775"/>
        <v/>
      </c>
      <c r="EC186" s="1020" t="str">
        <f t="shared" si="776"/>
        <v/>
      </c>
      <c r="ED186" s="1017" t="str">
        <f t="shared" si="777"/>
        <v/>
      </c>
      <c r="EE186" s="1021" t="str">
        <f t="shared" si="778"/>
        <v/>
      </c>
      <c r="EF186" s="1029" t="str">
        <f t="shared" si="809"/>
        <v/>
      </c>
      <c r="EG186" s="1028">
        <v>17</v>
      </c>
      <c r="EH186" s="1026" t="str">
        <f t="shared" si="810"/>
        <v/>
      </c>
      <c r="EI186" s="1026" t="str">
        <f t="shared" si="811"/>
        <v/>
      </c>
      <c r="EJ186" s="33"/>
      <c r="EM186" s="750" t="str">
        <f t="shared" si="734"/>
        <v/>
      </c>
      <c r="EN186" s="58" t="str">
        <f t="shared" si="735"/>
        <v/>
      </c>
      <c r="EO186" s="748" t="str">
        <f t="shared" si="736"/>
        <v/>
      </c>
      <c r="EP186" s="751" t="str">
        <f>IF(OR(EN186="",EN186=0),"",IF($EO186&gt;'Quadro 1'!$G$23,'Quadro 1'!$G$23,IF($EO186&lt;'Quadro 1'!$G$10,'Quadro 1'!$G$10,EO186)))</f>
        <v/>
      </c>
      <c r="EQ186" s="33"/>
      <c r="ER186" s="735" t="str">
        <f t="shared" si="737"/>
        <v>Crítico</v>
      </c>
      <c r="ES186" s="741">
        <f t="shared" si="779"/>
        <v>1</v>
      </c>
      <c r="ET186" s="736" t="str">
        <f t="shared" si="738"/>
        <v/>
      </c>
      <c r="EU186" s="33">
        <f t="shared" si="739"/>
        <v>0</v>
      </c>
      <c r="EV186" s="735" t="str">
        <f t="shared" si="740"/>
        <v/>
      </c>
      <c r="EW186" s="741" t="str">
        <f t="shared" si="780"/>
        <v/>
      </c>
      <c r="EX186" s="743" t="str">
        <f t="shared" si="741"/>
        <v/>
      </c>
      <c r="EY186" s="33">
        <v>17</v>
      </c>
      <c r="EZ186" s="735" t="str">
        <f t="shared" si="742"/>
        <v/>
      </c>
      <c r="FA186" s="741" t="str">
        <f t="shared" si="781"/>
        <v/>
      </c>
      <c r="FB186" s="18">
        <f t="shared" si="782"/>
        <v>0</v>
      </c>
      <c r="FC186" s="735" t="str">
        <f t="shared" si="743"/>
        <v/>
      </c>
      <c r="FD186" s="734" t="str">
        <f t="shared" si="783"/>
        <v/>
      </c>
      <c r="FE186" s="1477">
        <f t="shared" si="808"/>
        <v>0</v>
      </c>
      <c r="FF186" s="275" t="str">
        <f t="shared" si="744"/>
        <v/>
      </c>
      <c r="FG186" s="145" t="str">
        <f t="shared" si="745"/>
        <v/>
      </c>
      <c r="FH186" s="726">
        <f t="shared" si="746"/>
        <v>0</v>
      </c>
      <c r="FI186" s="718"/>
      <c r="FJ186" s="701" t="str">
        <f t="shared" si="784"/>
        <v/>
      </c>
      <c r="FK186" s="66">
        <f t="shared" si="747"/>
        <v>0</v>
      </c>
      <c r="FL186" s="717"/>
      <c r="FM186" s="716"/>
      <c r="FN186" s="701" t="str">
        <f t="shared" si="785"/>
        <v/>
      </c>
      <c r="FO186" s="66">
        <f t="shared" si="748"/>
        <v>0</v>
      </c>
      <c r="FP186" s="717"/>
      <c r="FQ186" s="716"/>
      <c r="FR186" s="701" t="str">
        <f t="shared" si="786"/>
        <v/>
      </c>
      <c r="FS186" s="66">
        <f t="shared" si="749"/>
        <v>0</v>
      </c>
      <c r="FT186" s="717"/>
      <c r="FU186" s="716"/>
      <c r="FV186" s="701" t="str">
        <f t="shared" si="787"/>
        <v/>
      </c>
      <c r="FW186" s="66">
        <f t="shared" si="750"/>
        <v>0</v>
      </c>
      <c r="FX186" s="717"/>
      <c r="FY186" s="716"/>
      <c r="FZ186" s="701" t="str">
        <f t="shared" si="788"/>
        <v/>
      </c>
      <c r="GA186" s="66">
        <f t="shared" si="751"/>
        <v>0</v>
      </c>
      <c r="GB186" s="717"/>
      <c r="GC186" s="716"/>
      <c r="GD186" s="701" t="str">
        <f t="shared" si="789"/>
        <v/>
      </c>
      <c r="GE186" s="66">
        <f t="shared" si="752"/>
        <v>0</v>
      </c>
      <c r="GF186" s="717"/>
      <c r="GG186" s="716"/>
      <c r="GH186" s="701" t="str">
        <f t="shared" si="790"/>
        <v/>
      </c>
      <c r="GI186" s="66">
        <f t="shared" si="753"/>
        <v>0</v>
      </c>
      <c r="GJ186" s="717"/>
      <c r="GK186" s="716"/>
      <c r="GL186" s="701" t="str">
        <f t="shared" si="791"/>
        <v/>
      </c>
      <c r="GM186" s="66">
        <f t="shared" si="754"/>
        <v>0</v>
      </c>
      <c r="GN186" s="717"/>
      <c r="GO186" s="716"/>
      <c r="GP186" s="701" t="str">
        <f t="shared" si="792"/>
        <v/>
      </c>
      <c r="GQ186" s="66">
        <f t="shared" si="755"/>
        <v>0</v>
      </c>
      <c r="GR186" s="717"/>
      <c r="GS186" s="716"/>
      <c r="GT186" s="701" t="str">
        <f t="shared" si="793"/>
        <v/>
      </c>
      <c r="GU186" s="66">
        <f t="shared" si="756"/>
        <v>0</v>
      </c>
      <c r="GV186" s="717"/>
      <c r="GW186" s="716"/>
      <c r="GX186" s="701" t="str">
        <f t="shared" si="794"/>
        <v/>
      </c>
      <c r="GY186" s="66">
        <f t="shared" si="757"/>
        <v>0</v>
      </c>
      <c r="GZ186" s="717"/>
      <c r="HA186" s="716"/>
      <c r="HB186" s="701" t="str">
        <f t="shared" si="795"/>
        <v/>
      </c>
      <c r="HC186" s="66">
        <f t="shared" si="758"/>
        <v>0</v>
      </c>
      <c r="HD186" s="717"/>
      <c r="HE186" s="716"/>
      <c r="HF186" s="701" t="str">
        <f t="shared" si="796"/>
        <v/>
      </c>
      <c r="HG186" s="66">
        <f t="shared" si="759"/>
        <v>0</v>
      </c>
      <c r="HH186" s="717"/>
      <c r="HI186" s="716"/>
      <c r="HJ186" s="701" t="str">
        <f t="shared" si="797"/>
        <v/>
      </c>
      <c r="HK186" s="66">
        <f t="shared" si="760"/>
        <v>0</v>
      </c>
      <c r="HL186" s="717"/>
      <c r="HM186" s="716"/>
      <c r="HN186" s="701" t="str">
        <f t="shared" si="798"/>
        <v/>
      </c>
      <c r="HO186" s="66">
        <f t="shared" si="761"/>
        <v>0</v>
      </c>
      <c r="HP186" s="717"/>
      <c r="HQ186" s="716"/>
      <c r="HR186" s="701" t="str">
        <f t="shared" si="799"/>
        <v/>
      </c>
      <c r="HS186" s="66">
        <f t="shared" si="762"/>
        <v>0</v>
      </c>
      <c r="HT186" s="717"/>
      <c r="HU186" s="716"/>
      <c r="HV186" s="701" t="str">
        <f t="shared" si="800"/>
        <v/>
      </c>
      <c r="HW186" s="66">
        <f t="shared" si="763"/>
        <v>0</v>
      </c>
      <c r="HX186" s="717"/>
      <c r="HY186" s="716"/>
      <c r="HZ186" s="701" t="str">
        <f t="shared" si="801"/>
        <v/>
      </c>
      <c r="IA186" s="66">
        <f t="shared" si="764"/>
        <v>0</v>
      </c>
      <c r="IB186" s="717"/>
      <c r="IC186" s="716"/>
      <c r="ID186" s="701" t="str">
        <f t="shared" si="802"/>
        <v/>
      </c>
      <c r="IE186" s="66">
        <f t="shared" si="765"/>
        <v>0</v>
      </c>
      <c r="IF186" s="717"/>
      <c r="IG186" s="716"/>
      <c r="IH186" s="701" t="str">
        <f t="shared" si="803"/>
        <v/>
      </c>
      <c r="II186" s="66">
        <f t="shared" si="766"/>
        <v>0</v>
      </c>
      <c r="IJ186" s="717"/>
      <c r="IK186" s="716"/>
      <c r="IL186" s="701" t="str">
        <f t="shared" si="804"/>
        <v/>
      </c>
      <c r="IM186" s="66">
        <f t="shared" si="767"/>
        <v>0</v>
      </c>
      <c r="IN186" s="717"/>
      <c r="IO186" s="716"/>
      <c r="IP186" s="701" t="str">
        <f t="shared" si="805"/>
        <v/>
      </c>
      <c r="IQ186" s="66">
        <f t="shared" si="768"/>
        <v>0</v>
      </c>
      <c r="IR186" s="717"/>
      <c r="IS186" s="716"/>
      <c r="IT186" s="701" t="str">
        <f t="shared" si="806"/>
        <v/>
      </c>
      <c r="IU186" s="66">
        <f t="shared" si="769"/>
        <v>0</v>
      </c>
      <c r="IV186" s="717"/>
      <c r="IW186" s="716"/>
      <c r="IX186" s="701" t="str">
        <f t="shared" si="807"/>
        <v/>
      </c>
      <c r="IY186" s="66">
        <f t="shared" si="770"/>
        <v>0</v>
      </c>
    </row>
    <row r="187" spans="44:259" ht="13.3" thickTop="1" thickBot="1" x14ac:dyDescent="0.35">
      <c r="AR187" s="1"/>
      <c r="AS187" s="1"/>
      <c r="AX187" s="2"/>
      <c r="DS187" s="33"/>
      <c r="DT187" s="33"/>
      <c r="DU187" s="33"/>
      <c r="DV187" s="33"/>
      <c r="DW187" s="33"/>
      <c r="DX187" s="1047" t="str">
        <f t="shared" si="771"/>
        <v/>
      </c>
      <c r="DY187" s="1019" t="str">
        <f t="shared" si="772"/>
        <v/>
      </c>
      <c r="DZ187" s="1018" t="str">
        <f t="shared" si="773"/>
        <v/>
      </c>
      <c r="EA187" s="1018" t="str">
        <f t="shared" si="774"/>
        <v/>
      </c>
      <c r="EB187" s="1022" t="str">
        <f t="shared" si="775"/>
        <v/>
      </c>
      <c r="EC187" s="1020" t="str">
        <f t="shared" si="776"/>
        <v/>
      </c>
      <c r="ED187" s="1017" t="str">
        <f t="shared" si="777"/>
        <v/>
      </c>
      <c r="EE187" s="1021" t="str">
        <f t="shared" si="778"/>
        <v/>
      </c>
      <c r="EF187" s="1029" t="str">
        <f t="shared" si="809"/>
        <v/>
      </c>
      <c r="EG187" s="1028">
        <v>18</v>
      </c>
      <c r="EH187" s="1026" t="str">
        <f t="shared" si="810"/>
        <v/>
      </c>
      <c r="EI187" s="1026" t="str">
        <f t="shared" si="811"/>
        <v/>
      </c>
      <c r="EJ187" s="33"/>
      <c r="EM187" s="750" t="str">
        <f t="shared" si="734"/>
        <v/>
      </c>
      <c r="EN187" s="58" t="str">
        <f t="shared" si="735"/>
        <v/>
      </c>
      <c r="EO187" s="748" t="str">
        <f t="shared" si="736"/>
        <v/>
      </c>
      <c r="EP187" s="751" t="str">
        <f>IF(OR(EN187="",EN187=0),"",IF($EO187&gt;'Quadro 1'!$G$23,'Quadro 1'!$G$23,IF($EO187&lt;'Quadro 1'!$G$10,'Quadro 1'!$G$10,EO187)))</f>
        <v/>
      </c>
      <c r="EQ187" s="33"/>
      <c r="ER187" s="735" t="str">
        <f t="shared" si="737"/>
        <v>Crítico</v>
      </c>
      <c r="ES187" s="741">
        <f t="shared" si="779"/>
        <v>1</v>
      </c>
      <c r="ET187" s="736" t="str">
        <f t="shared" si="738"/>
        <v/>
      </c>
      <c r="EU187" s="33">
        <f t="shared" si="739"/>
        <v>0</v>
      </c>
      <c r="EV187" s="735" t="str">
        <f t="shared" si="740"/>
        <v/>
      </c>
      <c r="EW187" s="741" t="str">
        <f t="shared" si="780"/>
        <v/>
      </c>
      <c r="EX187" s="743" t="str">
        <f t="shared" si="741"/>
        <v/>
      </c>
      <c r="EY187" s="33">
        <v>18</v>
      </c>
      <c r="EZ187" s="735" t="str">
        <f t="shared" si="742"/>
        <v/>
      </c>
      <c r="FA187" s="741" t="str">
        <f t="shared" si="781"/>
        <v/>
      </c>
      <c r="FB187" s="18">
        <f t="shared" si="782"/>
        <v>0</v>
      </c>
      <c r="FC187" s="735" t="str">
        <f t="shared" si="743"/>
        <v/>
      </c>
      <c r="FD187" s="734" t="str">
        <f t="shared" si="783"/>
        <v/>
      </c>
      <c r="FE187" s="1477">
        <f t="shared" si="808"/>
        <v>0</v>
      </c>
      <c r="FF187" s="275" t="str">
        <f t="shared" si="744"/>
        <v/>
      </c>
      <c r="FG187" s="145" t="str">
        <f t="shared" si="745"/>
        <v/>
      </c>
      <c r="FH187" s="726">
        <f t="shared" si="746"/>
        <v>0</v>
      </c>
      <c r="FI187" s="718"/>
      <c r="FJ187" s="701" t="str">
        <f t="shared" si="784"/>
        <v/>
      </c>
      <c r="FK187" s="66">
        <f t="shared" si="747"/>
        <v>0</v>
      </c>
      <c r="FL187" s="717"/>
      <c r="FM187" s="716"/>
      <c r="FN187" s="701" t="str">
        <f t="shared" si="785"/>
        <v/>
      </c>
      <c r="FO187" s="66">
        <f t="shared" si="748"/>
        <v>0</v>
      </c>
      <c r="FP187" s="717"/>
      <c r="FQ187" s="716"/>
      <c r="FR187" s="701" t="str">
        <f t="shared" si="786"/>
        <v/>
      </c>
      <c r="FS187" s="66">
        <f t="shared" si="749"/>
        <v>0</v>
      </c>
      <c r="FT187" s="717"/>
      <c r="FU187" s="716"/>
      <c r="FV187" s="701" t="str">
        <f t="shared" si="787"/>
        <v/>
      </c>
      <c r="FW187" s="66">
        <f t="shared" si="750"/>
        <v>0</v>
      </c>
      <c r="FX187" s="717"/>
      <c r="FY187" s="716"/>
      <c r="FZ187" s="701" t="str">
        <f t="shared" si="788"/>
        <v/>
      </c>
      <c r="GA187" s="66">
        <f t="shared" si="751"/>
        <v>0</v>
      </c>
      <c r="GB187" s="717"/>
      <c r="GC187" s="716"/>
      <c r="GD187" s="701" t="str">
        <f t="shared" si="789"/>
        <v/>
      </c>
      <c r="GE187" s="66">
        <f t="shared" si="752"/>
        <v>0</v>
      </c>
      <c r="GF187" s="717"/>
      <c r="GG187" s="716"/>
      <c r="GH187" s="701" t="str">
        <f t="shared" si="790"/>
        <v/>
      </c>
      <c r="GI187" s="66">
        <f t="shared" si="753"/>
        <v>0</v>
      </c>
      <c r="GJ187" s="717"/>
      <c r="GK187" s="716"/>
      <c r="GL187" s="701" t="str">
        <f t="shared" si="791"/>
        <v/>
      </c>
      <c r="GM187" s="66">
        <f t="shared" si="754"/>
        <v>0</v>
      </c>
      <c r="GN187" s="717"/>
      <c r="GO187" s="716"/>
      <c r="GP187" s="701" t="str">
        <f t="shared" si="792"/>
        <v/>
      </c>
      <c r="GQ187" s="66">
        <f t="shared" si="755"/>
        <v>0</v>
      </c>
      <c r="GR187" s="717"/>
      <c r="GS187" s="716"/>
      <c r="GT187" s="701" t="str">
        <f t="shared" si="793"/>
        <v/>
      </c>
      <c r="GU187" s="66">
        <f t="shared" si="756"/>
        <v>0</v>
      </c>
      <c r="GV187" s="717"/>
      <c r="GW187" s="716"/>
      <c r="GX187" s="701" t="str">
        <f t="shared" si="794"/>
        <v/>
      </c>
      <c r="GY187" s="66">
        <f t="shared" si="757"/>
        <v>0</v>
      </c>
      <c r="GZ187" s="717"/>
      <c r="HA187" s="716"/>
      <c r="HB187" s="701" t="str">
        <f t="shared" si="795"/>
        <v/>
      </c>
      <c r="HC187" s="66">
        <f t="shared" si="758"/>
        <v>0</v>
      </c>
      <c r="HD187" s="717"/>
      <c r="HE187" s="716"/>
      <c r="HF187" s="701" t="str">
        <f t="shared" si="796"/>
        <v/>
      </c>
      <c r="HG187" s="66">
        <f t="shared" si="759"/>
        <v>0</v>
      </c>
      <c r="HH187" s="717"/>
      <c r="HI187" s="716"/>
      <c r="HJ187" s="701" t="str">
        <f t="shared" si="797"/>
        <v/>
      </c>
      <c r="HK187" s="66">
        <f t="shared" si="760"/>
        <v>0</v>
      </c>
      <c r="HL187" s="717"/>
      <c r="HM187" s="716"/>
      <c r="HN187" s="701" t="str">
        <f t="shared" si="798"/>
        <v/>
      </c>
      <c r="HO187" s="66">
        <f t="shared" si="761"/>
        <v>0</v>
      </c>
      <c r="HP187" s="717"/>
      <c r="HQ187" s="716"/>
      <c r="HR187" s="701" t="str">
        <f t="shared" si="799"/>
        <v/>
      </c>
      <c r="HS187" s="66">
        <f t="shared" si="762"/>
        <v>0</v>
      </c>
      <c r="HT187" s="717"/>
      <c r="HU187" s="716"/>
      <c r="HV187" s="701" t="str">
        <f t="shared" si="800"/>
        <v/>
      </c>
      <c r="HW187" s="66">
        <f t="shared" si="763"/>
        <v>0</v>
      </c>
      <c r="HX187" s="717"/>
      <c r="HY187" s="716"/>
      <c r="HZ187" s="701" t="str">
        <f t="shared" si="801"/>
        <v/>
      </c>
      <c r="IA187" s="66">
        <f t="shared" si="764"/>
        <v>0</v>
      </c>
      <c r="IB187" s="717"/>
      <c r="IC187" s="716"/>
      <c r="ID187" s="701" t="str">
        <f t="shared" si="802"/>
        <v/>
      </c>
      <c r="IE187" s="66">
        <f t="shared" si="765"/>
        <v>0</v>
      </c>
      <c r="IF187" s="717"/>
      <c r="IG187" s="716"/>
      <c r="IH187" s="701" t="str">
        <f t="shared" si="803"/>
        <v/>
      </c>
      <c r="II187" s="66">
        <f t="shared" si="766"/>
        <v>0</v>
      </c>
      <c r="IJ187" s="717"/>
      <c r="IK187" s="716"/>
      <c r="IL187" s="701" t="str">
        <f t="shared" si="804"/>
        <v/>
      </c>
      <c r="IM187" s="66">
        <f t="shared" si="767"/>
        <v>0</v>
      </c>
      <c r="IN187" s="717"/>
      <c r="IO187" s="716"/>
      <c r="IP187" s="701" t="str">
        <f t="shared" si="805"/>
        <v/>
      </c>
      <c r="IQ187" s="66">
        <f t="shared" si="768"/>
        <v>0</v>
      </c>
      <c r="IR187" s="717"/>
      <c r="IS187" s="716"/>
      <c r="IT187" s="701" t="str">
        <f t="shared" si="806"/>
        <v/>
      </c>
      <c r="IU187" s="66">
        <f t="shared" si="769"/>
        <v>0</v>
      </c>
      <c r="IV187" s="717"/>
      <c r="IW187" s="716"/>
      <c r="IX187" s="701" t="str">
        <f t="shared" si="807"/>
        <v/>
      </c>
      <c r="IY187" s="66">
        <f t="shared" si="770"/>
        <v>0</v>
      </c>
    </row>
    <row r="188" spans="44:259" ht="13.3" thickTop="1" thickBot="1" x14ac:dyDescent="0.35">
      <c r="AR188" s="1"/>
      <c r="AS188" s="1"/>
      <c r="AX188" s="2"/>
      <c r="DS188" s="33"/>
      <c r="DT188" s="33"/>
      <c r="DU188" s="33"/>
      <c r="DV188" s="33"/>
      <c r="DW188" s="33"/>
      <c r="DX188" s="1047" t="str">
        <f t="shared" si="771"/>
        <v/>
      </c>
      <c r="DY188" s="1019" t="str">
        <f t="shared" si="772"/>
        <v/>
      </c>
      <c r="DZ188" s="1018" t="str">
        <f t="shared" si="773"/>
        <v/>
      </c>
      <c r="EA188" s="1018" t="str">
        <f t="shared" si="774"/>
        <v/>
      </c>
      <c r="EB188" s="1022" t="str">
        <f t="shared" si="775"/>
        <v/>
      </c>
      <c r="EC188" s="1020" t="str">
        <f t="shared" si="776"/>
        <v/>
      </c>
      <c r="ED188" s="1017" t="str">
        <f t="shared" si="777"/>
        <v/>
      </c>
      <c r="EE188" s="1021" t="str">
        <f t="shared" si="778"/>
        <v/>
      </c>
      <c r="EF188" s="1029" t="str">
        <f t="shared" si="809"/>
        <v/>
      </c>
      <c r="EG188" s="1028">
        <v>19</v>
      </c>
      <c r="EH188" s="1026" t="str">
        <f t="shared" si="810"/>
        <v/>
      </c>
      <c r="EI188" s="1026" t="str">
        <f t="shared" si="811"/>
        <v/>
      </c>
      <c r="EJ188" s="33"/>
      <c r="EM188" s="750" t="str">
        <f t="shared" si="734"/>
        <v/>
      </c>
      <c r="EN188" s="58" t="str">
        <f t="shared" si="735"/>
        <v/>
      </c>
      <c r="EO188" s="748" t="str">
        <f t="shared" si="736"/>
        <v/>
      </c>
      <c r="EP188" s="751" t="str">
        <f>IF(OR(EN188="",EN188=0),"",IF($EO188&gt;'Quadro 1'!$G$23,'Quadro 1'!$G$23,IF($EO188&lt;'Quadro 1'!$G$10,'Quadro 1'!$G$10,EO188)))</f>
        <v/>
      </c>
      <c r="EQ188" s="33"/>
      <c r="ER188" s="735" t="str">
        <f t="shared" si="737"/>
        <v>Crítico</v>
      </c>
      <c r="ES188" s="741">
        <f t="shared" si="779"/>
        <v>1</v>
      </c>
      <c r="ET188" s="736" t="str">
        <f t="shared" si="738"/>
        <v/>
      </c>
      <c r="EU188" s="33">
        <f t="shared" si="739"/>
        <v>0</v>
      </c>
      <c r="EV188" s="735" t="str">
        <f t="shared" si="740"/>
        <v/>
      </c>
      <c r="EW188" s="741" t="str">
        <f t="shared" si="780"/>
        <v/>
      </c>
      <c r="EX188" s="743" t="str">
        <f t="shared" si="741"/>
        <v/>
      </c>
      <c r="EY188" s="33">
        <v>19</v>
      </c>
      <c r="EZ188" s="735" t="str">
        <f t="shared" si="742"/>
        <v/>
      </c>
      <c r="FA188" s="741" t="str">
        <f t="shared" si="781"/>
        <v/>
      </c>
      <c r="FB188" s="18">
        <f t="shared" si="782"/>
        <v>0</v>
      </c>
      <c r="FC188" s="735" t="str">
        <f t="shared" si="743"/>
        <v/>
      </c>
      <c r="FD188" s="734" t="str">
        <f t="shared" si="783"/>
        <v/>
      </c>
      <c r="FE188" s="1477">
        <f t="shared" si="808"/>
        <v>0</v>
      </c>
      <c r="FF188" s="275" t="str">
        <f t="shared" si="744"/>
        <v/>
      </c>
      <c r="FG188" s="145" t="str">
        <f t="shared" si="745"/>
        <v/>
      </c>
      <c r="FH188" s="726">
        <f t="shared" si="746"/>
        <v>0</v>
      </c>
      <c r="FI188" s="718"/>
      <c r="FJ188" s="701" t="str">
        <f t="shared" si="784"/>
        <v/>
      </c>
      <c r="FK188" s="66">
        <f t="shared" si="747"/>
        <v>0</v>
      </c>
      <c r="FL188" s="717"/>
      <c r="FM188" s="716"/>
      <c r="FN188" s="701" t="str">
        <f t="shared" si="785"/>
        <v/>
      </c>
      <c r="FO188" s="66">
        <f t="shared" si="748"/>
        <v>0</v>
      </c>
      <c r="FP188" s="717"/>
      <c r="FQ188" s="716"/>
      <c r="FR188" s="701" t="str">
        <f t="shared" si="786"/>
        <v/>
      </c>
      <c r="FS188" s="66">
        <f t="shared" si="749"/>
        <v>0</v>
      </c>
      <c r="FT188" s="717"/>
      <c r="FU188" s="716"/>
      <c r="FV188" s="701" t="str">
        <f t="shared" si="787"/>
        <v/>
      </c>
      <c r="FW188" s="66">
        <f t="shared" si="750"/>
        <v>0</v>
      </c>
      <c r="FX188" s="717"/>
      <c r="FY188" s="716"/>
      <c r="FZ188" s="701" t="str">
        <f t="shared" si="788"/>
        <v/>
      </c>
      <c r="GA188" s="66">
        <f t="shared" si="751"/>
        <v>0</v>
      </c>
      <c r="GB188" s="717"/>
      <c r="GC188" s="716"/>
      <c r="GD188" s="701" t="str">
        <f t="shared" si="789"/>
        <v/>
      </c>
      <c r="GE188" s="66">
        <f t="shared" si="752"/>
        <v>0</v>
      </c>
      <c r="GF188" s="717"/>
      <c r="GG188" s="716"/>
      <c r="GH188" s="701" t="str">
        <f t="shared" si="790"/>
        <v/>
      </c>
      <c r="GI188" s="66">
        <f t="shared" si="753"/>
        <v>0</v>
      </c>
      <c r="GJ188" s="717"/>
      <c r="GK188" s="716"/>
      <c r="GL188" s="701" t="str">
        <f t="shared" si="791"/>
        <v/>
      </c>
      <c r="GM188" s="66">
        <f t="shared" si="754"/>
        <v>0</v>
      </c>
      <c r="GN188" s="717"/>
      <c r="GO188" s="716"/>
      <c r="GP188" s="701" t="str">
        <f t="shared" si="792"/>
        <v/>
      </c>
      <c r="GQ188" s="66">
        <f t="shared" si="755"/>
        <v>0</v>
      </c>
      <c r="GR188" s="717"/>
      <c r="GS188" s="716"/>
      <c r="GT188" s="701" t="str">
        <f t="shared" si="793"/>
        <v/>
      </c>
      <c r="GU188" s="66">
        <f t="shared" si="756"/>
        <v>0</v>
      </c>
      <c r="GV188" s="717"/>
      <c r="GW188" s="716"/>
      <c r="GX188" s="701" t="str">
        <f t="shared" si="794"/>
        <v/>
      </c>
      <c r="GY188" s="66">
        <f t="shared" si="757"/>
        <v>0</v>
      </c>
      <c r="GZ188" s="717"/>
      <c r="HA188" s="716"/>
      <c r="HB188" s="701" t="str">
        <f t="shared" si="795"/>
        <v/>
      </c>
      <c r="HC188" s="66">
        <f t="shared" si="758"/>
        <v>0</v>
      </c>
      <c r="HD188" s="717"/>
      <c r="HE188" s="716"/>
      <c r="HF188" s="701" t="str">
        <f t="shared" si="796"/>
        <v/>
      </c>
      <c r="HG188" s="66">
        <f t="shared" si="759"/>
        <v>0</v>
      </c>
      <c r="HH188" s="717"/>
      <c r="HI188" s="716"/>
      <c r="HJ188" s="701" t="str">
        <f t="shared" si="797"/>
        <v/>
      </c>
      <c r="HK188" s="66">
        <f t="shared" si="760"/>
        <v>0</v>
      </c>
      <c r="HL188" s="717"/>
      <c r="HM188" s="716"/>
      <c r="HN188" s="701" t="str">
        <f t="shared" si="798"/>
        <v/>
      </c>
      <c r="HO188" s="66">
        <f t="shared" si="761"/>
        <v>0</v>
      </c>
      <c r="HP188" s="717"/>
      <c r="HQ188" s="716"/>
      <c r="HR188" s="701" t="str">
        <f t="shared" si="799"/>
        <v/>
      </c>
      <c r="HS188" s="66">
        <f t="shared" si="762"/>
        <v>0</v>
      </c>
      <c r="HT188" s="717"/>
      <c r="HU188" s="716"/>
      <c r="HV188" s="701" t="str">
        <f t="shared" si="800"/>
        <v/>
      </c>
      <c r="HW188" s="66">
        <f t="shared" si="763"/>
        <v>0</v>
      </c>
      <c r="HX188" s="717"/>
      <c r="HY188" s="716"/>
      <c r="HZ188" s="701" t="str">
        <f t="shared" si="801"/>
        <v/>
      </c>
      <c r="IA188" s="66">
        <f t="shared" si="764"/>
        <v>0</v>
      </c>
      <c r="IB188" s="717"/>
      <c r="IC188" s="716"/>
      <c r="ID188" s="701" t="str">
        <f t="shared" si="802"/>
        <v/>
      </c>
      <c r="IE188" s="66">
        <f t="shared" si="765"/>
        <v>0</v>
      </c>
      <c r="IF188" s="717"/>
      <c r="IG188" s="716"/>
      <c r="IH188" s="701" t="str">
        <f t="shared" si="803"/>
        <v/>
      </c>
      <c r="II188" s="66">
        <f t="shared" si="766"/>
        <v>0</v>
      </c>
      <c r="IJ188" s="717"/>
      <c r="IK188" s="716"/>
      <c r="IL188" s="701" t="str">
        <f t="shared" si="804"/>
        <v/>
      </c>
      <c r="IM188" s="66">
        <f t="shared" si="767"/>
        <v>0</v>
      </c>
      <c r="IN188" s="717"/>
      <c r="IO188" s="716"/>
      <c r="IP188" s="701" t="str">
        <f t="shared" si="805"/>
        <v/>
      </c>
      <c r="IQ188" s="66">
        <f t="shared" si="768"/>
        <v>0</v>
      </c>
      <c r="IR188" s="717"/>
      <c r="IS188" s="716"/>
      <c r="IT188" s="701" t="str">
        <f t="shared" si="806"/>
        <v/>
      </c>
      <c r="IU188" s="66">
        <f t="shared" si="769"/>
        <v>0</v>
      </c>
      <c r="IV188" s="717"/>
      <c r="IW188" s="716"/>
      <c r="IX188" s="701" t="str">
        <f t="shared" si="807"/>
        <v/>
      </c>
      <c r="IY188" s="66">
        <f t="shared" si="770"/>
        <v>0</v>
      </c>
    </row>
    <row r="189" spans="44:259" ht="13.3" thickTop="1" thickBot="1" x14ac:dyDescent="0.35">
      <c r="AR189" s="1"/>
      <c r="AS189" s="1"/>
      <c r="AX189" s="2"/>
      <c r="DS189" s="33"/>
      <c r="DT189" s="33"/>
      <c r="DU189" s="33"/>
      <c r="DV189" s="33"/>
      <c r="DW189" s="33"/>
      <c r="DX189" s="1047" t="str">
        <f t="shared" si="771"/>
        <v/>
      </c>
      <c r="DY189" s="1019" t="str">
        <f t="shared" si="772"/>
        <v/>
      </c>
      <c r="DZ189" s="1018" t="str">
        <f t="shared" si="773"/>
        <v/>
      </c>
      <c r="EA189" s="1018" t="str">
        <f t="shared" si="774"/>
        <v/>
      </c>
      <c r="EB189" s="1022" t="str">
        <f t="shared" si="775"/>
        <v/>
      </c>
      <c r="EC189" s="1020" t="str">
        <f t="shared" si="776"/>
        <v/>
      </c>
      <c r="ED189" s="1017" t="str">
        <f t="shared" si="777"/>
        <v/>
      </c>
      <c r="EE189" s="1021" t="str">
        <f t="shared" si="778"/>
        <v/>
      </c>
      <c r="EF189" s="1029" t="str">
        <f t="shared" si="809"/>
        <v/>
      </c>
      <c r="EG189" s="1028">
        <v>20</v>
      </c>
      <c r="EH189" s="1026" t="str">
        <f t="shared" si="810"/>
        <v/>
      </c>
      <c r="EI189" s="1026" t="str">
        <f t="shared" si="811"/>
        <v/>
      </c>
      <c r="EJ189" s="33"/>
      <c r="EM189" s="750" t="str">
        <f t="shared" si="734"/>
        <v/>
      </c>
      <c r="EN189" s="58" t="str">
        <f t="shared" si="735"/>
        <v/>
      </c>
      <c r="EO189" s="748" t="str">
        <f t="shared" si="736"/>
        <v/>
      </c>
      <c r="EP189" s="751" t="str">
        <f>IF(OR(EN189="",EN189=0),"",IF($EO189&gt;'Quadro 1'!$G$23,'Quadro 1'!$G$23,IF($EO189&lt;'Quadro 1'!$G$10,'Quadro 1'!$G$10,EO189)))</f>
        <v/>
      </c>
      <c r="EQ189" s="33"/>
      <c r="ER189" s="735" t="str">
        <f t="shared" si="737"/>
        <v>Crítico</v>
      </c>
      <c r="ES189" s="741">
        <f t="shared" si="779"/>
        <v>1</v>
      </c>
      <c r="ET189" s="736" t="str">
        <f t="shared" si="738"/>
        <v/>
      </c>
      <c r="EU189" s="33">
        <f t="shared" si="739"/>
        <v>0</v>
      </c>
      <c r="EV189" s="735" t="str">
        <f t="shared" si="740"/>
        <v/>
      </c>
      <c r="EW189" s="741" t="str">
        <f t="shared" si="780"/>
        <v/>
      </c>
      <c r="EX189" s="743" t="str">
        <f t="shared" si="741"/>
        <v/>
      </c>
      <c r="EY189" s="33">
        <v>20</v>
      </c>
      <c r="EZ189" s="735" t="str">
        <f t="shared" si="742"/>
        <v/>
      </c>
      <c r="FA189" s="741" t="str">
        <f t="shared" si="781"/>
        <v/>
      </c>
      <c r="FB189" s="18">
        <f t="shared" si="782"/>
        <v>0</v>
      </c>
      <c r="FC189" s="735" t="str">
        <f t="shared" si="743"/>
        <v/>
      </c>
      <c r="FD189" s="734" t="str">
        <f t="shared" si="783"/>
        <v/>
      </c>
      <c r="FE189" s="1477">
        <f t="shared" si="808"/>
        <v>0</v>
      </c>
      <c r="FF189" s="275" t="str">
        <f t="shared" si="744"/>
        <v/>
      </c>
      <c r="FG189" s="145" t="str">
        <f t="shared" si="745"/>
        <v/>
      </c>
      <c r="FH189" s="726">
        <f t="shared" si="746"/>
        <v>0</v>
      </c>
      <c r="FI189" s="718"/>
      <c r="FJ189" s="701" t="str">
        <f t="shared" si="784"/>
        <v/>
      </c>
      <c r="FK189" s="66">
        <f t="shared" si="747"/>
        <v>0</v>
      </c>
      <c r="FL189" s="717"/>
      <c r="FM189" s="716"/>
      <c r="FN189" s="701" t="str">
        <f t="shared" si="785"/>
        <v/>
      </c>
      <c r="FO189" s="66">
        <f t="shared" si="748"/>
        <v>0</v>
      </c>
      <c r="FP189" s="717"/>
      <c r="FQ189" s="716"/>
      <c r="FR189" s="701" t="str">
        <f t="shared" si="786"/>
        <v/>
      </c>
      <c r="FS189" s="66">
        <f t="shared" si="749"/>
        <v>0</v>
      </c>
      <c r="FT189" s="717"/>
      <c r="FU189" s="716"/>
      <c r="FV189" s="701" t="str">
        <f t="shared" si="787"/>
        <v/>
      </c>
      <c r="FW189" s="66">
        <f t="shared" si="750"/>
        <v>0</v>
      </c>
      <c r="FX189" s="717"/>
      <c r="FY189" s="716"/>
      <c r="FZ189" s="701" t="str">
        <f t="shared" si="788"/>
        <v/>
      </c>
      <c r="GA189" s="66">
        <f t="shared" si="751"/>
        <v>0</v>
      </c>
      <c r="GB189" s="717"/>
      <c r="GC189" s="716"/>
      <c r="GD189" s="701" t="str">
        <f t="shared" si="789"/>
        <v/>
      </c>
      <c r="GE189" s="66">
        <f t="shared" si="752"/>
        <v>0</v>
      </c>
      <c r="GF189" s="717"/>
      <c r="GG189" s="716"/>
      <c r="GH189" s="701" t="str">
        <f t="shared" si="790"/>
        <v/>
      </c>
      <c r="GI189" s="66">
        <f t="shared" si="753"/>
        <v>0</v>
      </c>
      <c r="GJ189" s="717"/>
      <c r="GK189" s="716"/>
      <c r="GL189" s="701" t="str">
        <f t="shared" si="791"/>
        <v/>
      </c>
      <c r="GM189" s="66">
        <f t="shared" si="754"/>
        <v>0</v>
      </c>
      <c r="GN189" s="717"/>
      <c r="GO189" s="716"/>
      <c r="GP189" s="701" t="str">
        <f t="shared" si="792"/>
        <v/>
      </c>
      <c r="GQ189" s="66">
        <f t="shared" si="755"/>
        <v>0</v>
      </c>
      <c r="GR189" s="717"/>
      <c r="GS189" s="716"/>
      <c r="GT189" s="701" t="str">
        <f t="shared" si="793"/>
        <v/>
      </c>
      <c r="GU189" s="66">
        <f t="shared" si="756"/>
        <v>0</v>
      </c>
      <c r="GV189" s="717"/>
      <c r="GW189" s="716"/>
      <c r="GX189" s="701" t="str">
        <f t="shared" si="794"/>
        <v/>
      </c>
      <c r="GY189" s="66">
        <f t="shared" si="757"/>
        <v>0</v>
      </c>
      <c r="GZ189" s="717"/>
      <c r="HA189" s="716"/>
      <c r="HB189" s="701" t="str">
        <f t="shared" si="795"/>
        <v/>
      </c>
      <c r="HC189" s="66">
        <f t="shared" si="758"/>
        <v>0</v>
      </c>
      <c r="HD189" s="717"/>
      <c r="HE189" s="716"/>
      <c r="HF189" s="701" t="str">
        <f t="shared" si="796"/>
        <v/>
      </c>
      <c r="HG189" s="66">
        <f t="shared" si="759"/>
        <v>0</v>
      </c>
      <c r="HH189" s="717"/>
      <c r="HI189" s="716"/>
      <c r="HJ189" s="701" t="str">
        <f t="shared" si="797"/>
        <v/>
      </c>
      <c r="HK189" s="66">
        <f t="shared" si="760"/>
        <v>0</v>
      </c>
      <c r="HL189" s="717"/>
      <c r="HM189" s="716"/>
      <c r="HN189" s="701" t="str">
        <f t="shared" si="798"/>
        <v/>
      </c>
      <c r="HO189" s="66">
        <f t="shared" si="761"/>
        <v>0</v>
      </c>
      <c r="HP189" s="717"/>
      <c r="HQ189" s="716"/>
      <c r="HR189" s="701" t="str">
        <f t="shared" si="799"/>
        <v/>
      </c>
      <c r="HS189" s="66">
        <f t="shared" si="762"/>
        <v>0</v>
      </c>
      <c r="HT189" s="717"/>
      <c r="HU189" s="716"/>
      <c r="HV189" s="701" t="str">
        <f t="shared" si="800"/>
        <v/>
      </c>
      <c r="HW189" s="66">
        <f t="shared" si="763"/>
        <v>0</v>
      </c>
      <c r="HX189" s="717"/>
      <c r="HY189" s="716"/>
      <c r="HZ189" s="701" t="str">
        <f t="shared" si="801"/>
        <v/>
      </c>
      <c r="IA189" s="66">
        <f t="shared" si="764"/>
        <v>0</v>
      </c>
      <c r="IB189" s="717"/>
      <c r="IC189" s="716"/>
      <c r="ID189" s="701" t="str">
        <f t="shared" si="802"/>
        <v/>
      </c>
      <c r="IE189" s="66">
        <f t="shared" si="765"/>
        <v>0</v>
      </c>
      <c r="IF189" s="717"/>
      <c r="IG189" s="716"/>
      <c r="IH189" s="701" t="str">
        <f t="shared" si="803"/>
        <v/>
      </c>
      <c r="II189" s="66">
        <f t="shared" si="766"/>
        <v>0</v>
      </c>
      <c r="IJ189" s="717"/>
      <c r="IK189" s="716"/>
      <c r="IL189" s="701" t="str">
        <f t="shared" si="804"/>
        <v/>
      </c>
      <c r="IM189" s="66">
        <f t="shared" si="767"/>
        <v>0</v>
      </c>
      <c r="IN189" s="717"/>
      <c r="IO189" s="716"/>
      <c r="IP189" s="701" t="str">
        <f t="shared" si="805"/>
        <v/>
      </c>
      <c r="IQ189" s="66">
        <f t="shared" si="768"/>
        <v>0</v>
      </c>
      <c r="IR189" s="717"/>
      <c r="IS189" s="716"/>
      <c r="IT189" s="701" t="str">
        <f t="shared" si="806"/>
        <v/>
      </c>
      <c r="IU189" s="66">
        <f t="shared" si="769"/>
        <v>0</v>
      </c>
      <c r="IV189" s="717"/>
      <c r="IW189" s="716"/>
      <c r="IX189" s="701" t="str">
        <f t="shared" si="807"/>
        <v/>
      </c>
      <c r="IY189" s="66">
        <f t="shared" si="770"/>
        <v>0</v>
      </c>
    </row>
    <row r="190" spans="44:259" ht="13.3" thickTop="1" thickBot="1" x14ac:dyDescent="0.35">
      <c r="AR190" s="1"/>
      <c r="AS190" s="1"/>
      <c r="AX190" s="2"/>
      <c r="DS190" s="33"/>
      <c r="DT190" s="33"/>
      <c r="DU190" s="33"/>
      <c r="DV190" s="33"/>
      <c r="DW190" s="33"/>
      <c r="DX190" s="1047" t="str">
        <f t="shared" si="771"/>
        <v/>
      </c>
      <c r="DY190" s="1019" t="str">
        <f t="shared" si="772"/>
        <v/>
      </c>
      <c r="DZ190" s="1018" t="str">
        <f t="shared" si="773"/>
        <v/>
      </c>
      <c r="EA190" s="1018" t="str">
        <f t="shared" si="774"/>
        <v/>
      </c>
      <c r="EB190" s="1022" t="str">
        <f t="shared" si="775"/>
        <v/>
      </c>
      <c r="EC190" s="1020" t="str">
        <f t="shared" si="776"/>
        <v/>
      </c>
      <c r="ED190" s="1017" t="str">
        <f t="shared" si="777"/>
        <v/>
      </c>
      <c r="EE190" s="1021" t="str">
        <f t="shared" si="778"/>
        <v/>
      </c>
      <c r="EF190" s="1029" t="str">
        <f t="shared" si="809"/>
        <v/>
      </c>
      <c r="EG190" s="1028">
        <v>21</v>
      </c>
      <c r="EH190" s="1026" t="str">
        <f t="shared" si="810"/>
        <v/>
      </c>
      <c r="EI190" s="1026" t="str">
        <f t="shared" si="811"/>
        <v/>
      </c>
      <c r="EJ190" s="33"/>
      <c r="EM190" s="750" t="str">
        <f t="shared" si="734"/>
        <v/>
      </c>
      <c r="EN190" s="58" t="str">
        <f t="shared" si="735"/>
        <v/>
      </c>
      <c r="EO190" s="748" t="str">
        <f t="shared" si="736"/>
        <v/>
      </c>
      <c r="EP190" s="751" t="str">
        <f>IF(OR(EN190="",EN190=0),"",IF($EO190&gt;'Quadro 1'!$G$23,'Quadro 1'!$G$23,IF($EO190&lt;'Quadro 1'!$G$10,'Quadro 1'!$G$10,EO190)))</f>
        <v/>
      </c>
      <c r="EQ190" s="33"/>
      <c r="ER190" s="735" t="str">
        <f t="shared" si="737"/>
        <v>Crítico</v>
      </c>
      <c r="ES190" s="741">
        <f t="shared" si="779"/>
        <v>1</v>
      </c>
      <c r="ET190" s="736" t="str">
        <f t="shared" si="738"/>
        <v/>
      </c>
      <c r="EU190" s="33">
        <f t="shared" si="739"/>
        <v>0</v>
      </c>
      <c r="EV190" s="735" t="str">
        <f t="shared" si="740"/>
        <v/>
      </c>
      <c r="EW190" s="741" t="str">
        <f t="shared" si="780"/>
        <v/>
      </c>
      <c r="EX190" s="743" t="str">
        <f t="shared" si="741"/>
        <v/>
      </c>
      <c r="EY190" s="33">
        <v>21</v>
      </c>
      <c r="EZ190" s="735" t="str">
        <f t="shared" si="742"/>
        <v/>
      </c>
      <c r="FA190" s="741" t="str">
        <f t="shared" si="781"/>
        <v/>
      </c>
      <c r="FB190" s="18">
        <f t="shared" si="782"/>
        <v>0</v>
      </c>
      <c r="FC190" s="735" t="str">
        <f t="shared" si="743"/>
        <v/>
      </c>
      <c r="FD190" s="734" t="str">
        <f t="shared" si="783"/>
        <v/>
      </c>
      <c r="FE190" s="1477">
        <f t="shared" si="808"/>
        <v>0</v>
      </c>
      <c r="FF190" s="275" t="str">
        <f t="shared" si="744"/>
        <v/>
      </c>
      <c r="FG190" s="145" t="str">
        <f t="shared" si="745"/>
        <v/>
      </c>
      <c r="FH190" s="726">
        <f t="shared" si="746"/>
        <v>0</v>
      </c>
      <c r="FJ190" s="701" t="str">
        <f t="shared" si="784"/>
        <v/>
      </c>
      <c r="FK190" s="66">
        <f t="shared" si="747"/>
        <v>0</v>
      </c>
      <c r="FN190" s="701" t="str">
        <f t="shared" si="785"/>
        <v/>
      </c>
      <c r="FO190" s="66">
        <f t="shared" si="748"/>
        <v>0</v>
      </c>
      <c r="FR190" s="701" t="str">
        <f t="shared" si="786"/>
        <v/>
      </c>
      <c r="FS190" s="66">
        <f t="shared" si="749"/>
        <v>0</v>
      </c>
      <c r="FV190" s="701" t="str">
        <f t="shared" si="787"/>
        <v/>
      </c>
      <c r="FW190" s="66">
        <f t="shared" si="750"/>
        <v>0</v>
      </c>
      <c r="FZ190" s="701" t="str">
        <f t="shared" si="788"/>
        <v/>
      </c>
      <c r="GA190" s="66">
        <f t="shared" si="751"/>
        <v>0</v>
      </c>
      <c r="GD190" s="701" t="str">
        <f t="shared" si="789"/>
        <v/>
      </c>
      <c r="GE190" s="66">
        <f t="shared" si="752"/>
        <v>0</v>
      </c>
      <c r="GH190" s="701" t="str">
        <f t="shared" si="790"/>
        <v/>
      </c>
      <c r="GI190" s="66">
        <f t="shared" si="753"/>
        <v>0</v>
      </c>
      <c r="GL190" s="701" t="str">
        <f t="shared" si="791"/>
        <v/>
      </c>
      <c r="GM190" s="66">
        <f t="shared" si="754"/>
        <v>0</v>
      </c>
      <c r="GP190" s="701" t="str">
        <f t="shared" si="792"/>
        <v/>
      </c>
      <c r="GQ190" s="66">
        <f t="shared" si="755"/>
        <v>0</v>
      </c>
      <c r="GT190" s="701" t="str">
        <f t="shared" si="793"/>
        <v/>
      </c>
      <c r="GU190" s="66">
        <f t="shared" si="756"/>
        <v>0</v>
      </c>
      <c r="GX190" s="701" t="str">
        <f t="shared" si="794"/>
        <v/>
      </c>
      <c r="GY190" s="66">
        <f t="shared" si="757"/>
        <v>0</v>
      </c>
      <c r="HB190" s="701" t="str">
        <f t="shared" si="795"/>
        <v/>
      </c>
      <c r="HC190" s="66">
        <f t="shared" si="758"/>
        <v>0</v>
      </c>
      <c r="HF190" s="701" t="str">
        <f t="shared" si="796"/>
        <v/>
      </c>
      <c r="HG190" s="66">
        <f t="shared" si="759"/>
        <v>0</v>
      </c>
      <c r="HJ190" s="701" t="str">
        <f t="shared" si="797"/>
        <v/>
      </c>
      <c r="HK190" s="66">
        <f t="shared" si="760"/>
        <v>0</v>
      </c>
      <c r="HN190" s="701" t="str">
        <f t="shared" si="798"/>
        <v/>
      </c>
      <c r="HO190" s="66">
        <f t="shared" si="761"/>
        <v>0</v>
      </c>
      <c r="HR190" s="701" t="str">
        <f t="shared" si="799"/>
        <v/>
      </c>
      <c r="HS190" s="66">
        <f t="shared" si="762"/>
        <v>0</v>
      </c>
      <c r="HV190" s="701" t="str">
        <f t="shared" si="800"/>
        <v/>
      </c>
      <c r="HW190" s="66">
        <f t="shared" si="763"/>
        <v>0</v>
      </c>
      <c r="HZ190" s="701" t="str">
        <f t="shared" si="801"/>
        <v/>
      </c>
      <c r="IA190" s="66">
        <f t="shared" si="764"/>
        <v>0</v>
      </c>
      <c r="ID190" s="701" t="str">
        <f t="shared" si="802"/>
        <v/>
      </c>
      <c r="IE190" s="66">
        <f t="shared" si="765"/>
        <v>0</v>
      </c>
      <c r="IH190" s="701" t="str">
        <f t="shared" si="803"/>
        <v/>
      </c>
      <c r="II190" s="66">
        <f t="shared" si="766"/>
        <v>0</v>
      </c>
      <c r="IL190" s="701" t="str">
        <f t="shared" si="804"/>
        <v/>
      </c>
      <c r="IM190" s="66">
        <f t="shared" si="767"/>
        <v>0</v>
      </c>
      <c r="IP190" s="701" t="str">
        <f t="shared" si="805"/>
        <v/>
      </c>
      <c r="IQ190" s="66">
        <f t="shared" si="768"/>
        <v>0</v>
      </c>
      <c r="IT190" s="701" t="str">
        <f t="shared" si="806"/>
        <v/>
      </c>
      <c r="IU190" s="66">
        <f t="shared" si="769"/>
        <v>0</v>
      </c>
      <c r="IX190" s="701" t="str">
        <f t="shared" si="807"/>
        <v/>
      </c>
      <c r="IY190" s="66">
        <f t="shared" si="770"/>
        <v>0</v>
      </c>
    </row>
    <row r="191" spans="44:259" ht="13.3" thickTop="1" thickBot="1" x14ac:dyDescent="0.35">
      <c r="AR191" s="1"/>
      <c r="AS191" s="1"/>
      <c r="AX191" s="2"/>
      <c r="DS191" s="33"/>
      <c r="DT191" s="33"/>
      <c r="DU191" s="33"/>
      <c r="DV191" s="33"/>
      <c r="DW191" s="33"/>
      <c r="DX191" s="1047" t="str">
        <f t="shared" si="771"/>
        <v/>
      </c>
      <c r="DY191" s="1019" t="str">
        <f t="shared" si="772"/>
        <v/>
      </c>
      <c r="DZ191" s="1018" t="str">
        <f t="shared" si="773"/>
        <v/>
      </c>
      <c r="EA191" s="1018" t="str">
        <f t="shared" si="774"/>
        <v/>
      </c>
      <c r="EB191" s="1022" t="str">
        <f t="shared" si="775"/>
        <v/>
      </c>
      <c r="EC191" s="1020" t="str">
        <f t="shared" si="776"/>
        <v/>
      </c>
      <c r="ED191" s="1017" t="str">
        <f t="shared" si="777"/>
        <v/>
      </c>
      <c r="EE191" s="1021" t="str">
        <f t="shared" si="778"/>
        <v/>
      </c>
      <c r="EF191" s="1029" t="str">
        <f t="shared" si="809"/>
        <v/>
      </c>
      <c r="EG191" s="1028">
        <v>22</v>
      </c>
      <c r="EH191" s="1026" t="str">
        <f t="shared" si="810"/>
        <v/>
      </c>
      <c r="EI191" s="1026" t="str">
        <f t="shared" si="811"/>
        <v/>
      </c>
      <c r="EJ191" s="33"/>
      <c r="EM191" s="750" t="str">
        <f t="shared" si="734"/>
        <v/>
      </c>
      <c r="EN191" s="58" t="str">
        <f t="shared" si="735"/>
        <v/>
      </c>
      <c r="EO191" s="748" t="str">
        <f t="shared" si="736"/>
        <v/>
      </c>
      <c r="EP191" s="751" t="str">
        <f>IF(OR(EN191="",EN191=0),"",IF($EO191&gt;'Quadro 1'!$G$23,'Quadro 1'!$G$23,IF($EO191&lt;'Quadro 1'!$G$10,'Quadro 1'!$G$10,EO191)))</f>
        <v/>
      </c>
      <c r="EQ191" s="33"/>
      <c r="ER191" s="735" t="str">
        <f t="shared" si="737"/>
        <v>Crítico</v>
      </c>
      <c r="ES191" s="741">
        <f t="shared" si="779"/>
        <v>1</v>
      </c>
      <c r="ET191" s="736" t="str">
        <f t="shared" si="738"/>
        <v/>
      </c>
      <c r="EU191" s="33">
        <f t="shared" si="739"/>
        <v>0</v>
      </c>
      <c r="EV191" s="735" t="str">
        <f t="shared" si="740"/>
        <v/>
      </c>
      <c r="EW191" s="741" t="str">
        <f t="shared" si="780"/>
        <v/>
      </c>
      <c r="EX191" s="743" t="str">
        <f t="shared" si="741"/>
        <v/>
      </c>
      <c r="EY191" s="33">
        <v>22</v>
      </c>
      <c r="EZ191" s="735" t="str">
        <f t="shared" si="742"/>
        <v/>
      </c>
      <c r="FA191" s="741" t="str">
        <f t="shared" si="781"/>
        <v/>
      </c>
      <c r="FB191" s="18">
        <f t="shared" si="782"/>
        <v>0</v>
      </c>
      <c r="FC191" s="735" t="str">
        <f t="shared" si="743"/>
        <v/>
      </c>
      <c r="FD191" s="734" t="str">
        <f t="shared" si="783"/>
        <v/>
      </c>
      <c r="FE191" s="1477">
        <f t="shared" si="808"/>
        <v>0</v>
      </c>
      <c r="FF191" s="275" t="str">
        <f t="shared" si="744"/>
        <v/>
      </c>
      <c r="FG191" s="145" t="str">
        <f t="shared" si="745"/>
        <v/>
      </c>
      <c r="FH191" s="726">
        <f t="shared" si="746"/>
        <v>0</v>
      </c>
      <c r="FJ191" s="701" t="str">
        <f t="shared" si="784"/>
        <v/>
      </c>
      <c r="FK191" s="66">
        <f t="shared" si="747"/>
        <v>0</v>
      </c>
      <c r="FN191" s="701" t="str">
        <f t="shared" si="785"/>
        <v/>
      </c>
      <c r="FO191" s="66">
        <f t="shared" si="748"/>
        <v>0</v>
      </c>
      <c r="FR191" s="701" t="str">
        <f t="shared" si="786"/>
        <v/>
      </c>
      <c r="FS191" s="66">
        <f t="shared" si="749"/>
        <v>0</v>
      </c>
      <c r="FV191" s="701" t="str">
        <f t="shared" si="787"/>
        <v/>
      </c>
      <c r="FW191" s="66">
        <f t="shared" si="750"/>
        <v>0</v>
      </c>
      <c r="FZ191" s="701" t="str">
        <f t="shared" si="788"/>
        <v/>
      </c>
      <c r="GA191" s="66">
        <f t="shared" si="751"/>
        <v>0</v>
      </c>
      <c r="GD191" s="701" t="str">
        <f t="shared" si="789"/>
        <v/>
      </c>
      <c r="GE191" s="66">
        <f t="shared" si="752"/>
        <v>0</v>
      </c>
      <c r="GH191" s="701" t="str">
        <f t="shared" si="790"/>
        <v/>
      </c>
      <c r="GI191" s="66">
        <f t="shared" si="753"/>
        <v>0</v>
      </c>
      <c r="GL191" s="701" t="str">
        <f t="shared" si="791"/>
        <v/>
      </c>
      <c r="GM191" s="66">
        <f t="shared" si="754"/>
        <v>0</v>
      </c>
      <c r="GP191" s="701" t="str">
        <f t="shared" si="792"/>
        <v/>
      </c>
      <c r="GQ191" s="66">
        <f t="shared" si="755"/>
        <v>0</v>
      </c>
      <c r="GT191" s="701" t="str">
        <f t="shared" si="793"/>
        <v/>
      </c>
      <c r="GU191" s="66">
        <f t="shared" si="756"/>
        <v>0</v>
      </c>
      <c r="GX191" s="701" t="str">
        <f t="shared" si="794"/>
        <v/>
      </c>
      <c r="GY191" s="66">
        <f t="shared" si="757"/>
        <v>0</v>
      </c>
      <c r="HB191" s="701" t="str">
        <f t="shared" si="795"/>
        <v/>
      </c>
      <c r="HC191" s="66">
        <f t="shared" si="758"/>
        <v>0</v>
      </c>
      <c r="HF191" s="701" t="str">
        <f t="shared" si="796"/>
        <v/>
      </c>
      <c r="HG191" s="66">
        <f t="shared" si="759"/>
        <v>0</v>
      </c>
      <c r="HJ191" s="701" t="str">
        <f t="shared" si="797"/>
        <v/>
      </c>
      <c r="HK191" s="66">
        <f t="shared" si="760"/>
        <v>0</v>
      </c>
      <c r="HN191" s="701" t="str">
        <f t="shared" si="798"/>
        <v/>
      </c>
      <c r="HO191" s="66">
        <f t="shared" si="761"/>
        <v>0</v>
      </c>
      <c r="HR191" s="701" t="str">
        <f t="shared" si="799"/>
        <v/>
      </c>
      <c r="HS191" s="66">
        <f t="shared" si="762"/>
        <v>0</v>
      </c>
      <c r="HV191" s="701" t="str">
        <f t="shared" si="800"/>
        <v/>
      </c>
      <c r="HW191" s="66">
        <f t="shared" si="763"/>
        <v>0</v>
      </c>
      <c r="HZ191" s="701" t="str">
        <f t="shared" si="801"/>
        <v/>
      </c>
      <c r="IA191" s="66">
        <f t="shared" si="764"/>
        <v>0</v>
      </c>
      <c r="ID191" s="701" t="str">
        <f t="shared" si="802"/>
        <v/>
      </c>
      <c r="IE191" s="66">
        <f t="shared" si="765"/>
        <v>0</v>
      </c>
      <c r="IH191" s="701" t="str">
        <f t="shared" si="803"/>
        <v/>
      </c>
      <c r="II191" s="66">
        <f t="shared" si="766"/>
        <v>0</v>
      </c>
      <c r="IL191" s="701" t="str">
        <f t="shared" si="804"/>
        <v/>
      </c>
      <c r="IM191" s="66">
        <f t="shared" si="767"/>
        <v>0</v>
      </c>
      <c r="IP191" s="701" t="str">
        <f t="shared" si="805"/>
        <v/>
      </c>
      <c r="IQ191" s="66">
        <f t="shared" si="768"/>
        <v>0</v>
      </c>
      <c r="IT191" s="701" t="str">
        <f t="shared" si="806"/>
        <v/>
      </c>
      <c r="IU191" s="66">
        <f t="shared" si="769"/>
        <v>0</v>
      </c>
      <c r="IX191" s="701" t="str">
        <f t="shared" si="807"/>
        <v/>
      </c>
      <c r="IY191" s="66">
        <f t="shared" si="770"/>
        <v>0</v>
      </c>
    </row>
    <row r="192" spans="44:259" ht="13.3" thickTop="1" thickBot="1" x14ac:dyDescent="0.35">
      <c r="AR192" s="1"/>
      <c r="AS192" s="1"/>
      <c r="AX192" s="2"/>
      <c r="DS192" s="33"/>
      <c r="DT192" s="33"/>
      <c r="DU192" s="33"/>
      <c r="DV192" s="33"/>
      <c r="DW192" s="33"/>
      <c r="DX192" s="1047" t="str">
        <f t="shared" si="771"/>
        <v/>
      </c>
      <c r="DY192" s="1019" t="str">
        <f t="shared" si="772"/>
        <v/>
      </c>
      <c r="DZ192" s="1018" t="str">
        <f t="shared" si="773"/>
        <v/>
      </c>
      <c r="EA192" s="1018" t="str">
        <f t="shared" si="774"/>
        <v/>
      </c>
      <c r="EB192" s="1022" t="str">
        <f t="shared" si="775"/>
        <v/>
      </c>
      <c r="EC192" s="1020" t="str">
        <f t="shared" si="776"/>
        <v/>
      </c>
      <c r="ED192" s="1017" t="str">
        <f t="shared" si="777"/>
        <v/>
      </c>
      <c r="EE192" s="1021" t="str">
        <f t="shared" si="778"/>
        <v/>
      </c>
      <c r="EF192" s="1029" t="str">
        <f t="shared" si="809"/>
        <v/>
      </c>
      <c r="EG192" s="1028">
        <v>23</v>
      </c>
      <c r="EH192" s="1026" t="str">
        <f t="shared" si="810"/>
        <v/>
      </c>
      <c r="EI192" s="1026" t="str">
        <f t="shared" si="811"/>
        <v/>
      </c>
      <c r="EJ192" s="33"/>
      <c r="EM192" s="750" t="str">
        <f t="shared" si="734"/>
        <v/>
      </c>
      <c r="EN192" s="58" t="str">
        <f t="shared" si="735"/>
        <v/>
      </c>
      <c r="EO192" s="748" t="str">
        <f t="shared" si="736"/>
        <v/>
      </c>
      <c r="EP192" s="751" t="str">
        <f>IF(OR(EN192="",EN192=0),"",IF($EO192&gt;'Quadro 1'!$G$23,'Quadro 1'!$G$23,IF($EO192&lt;'Quadro 1'!$G$10,'Quadro 1'!$G$10,EO192)))</f>
        <v/>
      </c>
      <c r="EQ192" s="33"/>
      <c r="ER192" s="735" t="str">
        <f t="shared" si="737"/>
        <v>Crítico</v>
      </c>
      <c r="ES192" s="741">
        <f t="shared" si="779"/>
        <v>1</v>
      </c>
      <c r="ET192" s="736" t="str">
        <f t="shared" si="738"/>
        <v/>
      </c>
      <c r="EU192" s="33">
        <f t="shared" si="739"/>
        <v>0</v>
      </c>
      <c r="EV192" s="735" t="str">
        <f t="shared" si="740"/>
        <v/>
      </c>
      <c r="EW192" s="741" t="str">
        <f t="shared" si="780"/>
        <v/>
      </c>
      <c r="EX192" s="743" t="str">
        <f t="shared" si="741"/>
        <v/>
      </c>
      <c r="EY192" s="33">
        <v>23</v>
      </c>
      <c r="EZ192" s="735" t="str">
        <f t="shared" si="742"/>
        <v/>
      </c>
      <c r="FA192" s="741" t="str">
        <f t="shared" si="781"/>
        <v/>
      </c>
      <c r="FB192" s="18">
        <f t="shared" si="782"/>
        <v>0</v>
      </c>
      <c r="FC192" s="735" t="str">
        <f t="shared" si="743"/>
        <v/>
      </c>
      <c r="FD192" s="734" t="str">
        <f t="shared" si="783"/>
        <v/>
      </c>
      <c r="FE192" s="1477">
        <f t="shared" si="808"/>
        <v>0</v>
      </c>
      <c r="FF192" s="275" t="str">
        <f t="shared" si="744"/>
        <v/>
      </c>
      <c r="FG192" s="145" t="str">
        <f t="shared" si="745"/>
        <v/>
      </c>
      <c r="FH192" s="726">
        <f t="shared" si="746"/>
        <v>0</v>
      </c>
      <c r="FJ192" s="701" t="str">
        <f t="shared" si="784"/>
        <v/>
      </c>
      <c r="FK192" s="66">
        <f t="shared" si="747"/>
        <v>0</v>
      </c>
      <c r="FN192" s="701" t="str">
        <f t="shared" si="785"/>
        <v/>
      </c>
      <c r="FO192" s="66">
        <f t="shared" si="748"/>
        <v>0</v>
      </c>
      <c r="FR192" s="701" t="str">
        <f t="shared" si="786"/>
        <v/>
      </c>
      <c r="FS192" s="66">
        <f t="shared" si="749"/>
        <v>0</v>
      </c>
      <c r="FV192" s="701" t="str">
        <f t="shared" si="787"/>
        <v/>
      </c>
      <c r="FW192" s="66">
        <f t="shared" si="750"/>
        <v>0</v>
      </c>
      <c r="FZ192" s="701" t="str">
        <f t="shared" si="788"/>
        <v/>
      </c>
      <c r="GA192" s="66">
        <f t="shared" si="751"/>
        <v>0</v>
      </c>
      <c r="GD192" s="701" t="str">
        <f t="shared" si="789"/>
        <v/>
      </c>
      <c r="GE192" s="66">
        <f t="shared" si="752"/>
        <v>0</v>
      </c>
      <c r="GH192" s="701" t="str">
        <f t="shared" si="790"/>
        <v/>
      </c>
      <c r="GI192" s="66">
        <f t="shared" si="753"/>
        <v>0</v>
      </c>
      <c r="GL192" s="701" t="str">
        <f t="shared" si="791"/>
        <v/>
      </c>
      <c r="GM192" s="66">
        <f t="shared" si="754"/>
        <v>0</v>
      </c>
      <c r="GP192" s="701" t="str">
        <f t="shared" si="792"/>
        <v/>
      </c>
      <c r="GQ192" s="66">
        <f t="shared" si="755"/>
        <v>0</v>
      </c>
      <c r="GT192" s="701" t="str">
        <f t="shared" si="793"/>
        <v/>
      </c>
      <c r="GU192" s="66">
        <f t="shared" si="756"/>
        <v>0</v>
      </c>
      <c r="GX192" s="701" t="str">
        <f t="shared" si="794"/>
        <v/>
      </c>
      <c r="GY192" s="66">
        <f t="shared" si="757"/>
        <v>0</v>
      </c>
      <c r="HB192" s="701" t="str">
        <f t="shared" si="795"/>
        <v/>
      </c>
      <c r="HC192" s="66">
        <f t="shared" si="758"/>
        <v>0</v>
      </c>
      <c r="HF192" s="701" t="str">
        <f t="shared" si="796"/>
        <v/>
      </c>
      <c r="HG192" s="66">
        <f t="shared" si="759"/>
        <v>0</v>
      </c>
      <c r="HJ192" s="701" t="str">
        <f t="shared" si="797"/>
        <v/>
      </c>
      <c r="HK192" s="66">
        <f t="shared" si="760"/>
        <v>0</v>
      </c>
      <c r="HN192" s="701" t="str">
        <f t="shared" si="798"/>
        <v/>
      </c>
      <c r="HO192" s="66">
        <f t="shared" si="761"/>
        <v>0</v>
      </c>
      <c r="HR192" s="701" t="str">
        <f t="shared" si="799"/>
        <v/>
      </c>
      <c r="HS192" s="66">
        <f t="shared" si="762"/>
        <v>0</v>
      </c>
      <c r="HV192" s="701" t="str">
        <f t="shared" si="800"/>
        <v/>
      </c>
      <c r="HW192" s="66">
        <f t="shared" si="763"/>
        <v>0</v>
      </c>
      <c r="HZ192" s="701" t="str">
        <f t="shared" si="801"/>
        <v/>
      </c>
      <c r="IA192" s="66">
        <f t="shared" si="764"/>
        <v>0</v>
      </c>
      <c r="ID192" s="701" t="str">
        <f t="shared" si="802"/>
        <v/>
      </c>
      <c r="IE192" s="66">
        <f t="shared" si="765"/>
        <v>0</v>
      </c>
      <c r="IH192" s="701" t="str">
        <f t="shared" si="803"/>
        <v/>
      </c>
      <c r="II192" s="66">
        <f t="shared" si="766"/>
        <v>0</v>
      </c>
      <c r="IL192" s="701" t="str">
        <f t="shared" si="804"/>
        <v/>
      </c>
      <c r="IM192" s="66">
        <f t="shared" si="767"/>
        <v>0</v>
      </c>
      <c r="IP192" s="701" t="str">
        <f t="shared" si="805"/>
        <v/>
      </c>
      <c r="IQ192" s="66">
        <f t="shared" si="768"/>
        <v>0</v>
      </c>
      <c r="IT192" s="701" t="str">
        <f t="shared" si="806"/>
        <v/>
      </c>
      <c r="IU192" s="66">
        <f t="shared" si="769"/>
        <v>0</v>
      </c>
      <c r="IX192" s="701" t="str">
        <f t="shared" si="807"/>
        <v/>
      </c>
      <c r="IY192" s="66">
        <f t="shared" si="770"/>
        <v>0</v>
      </c>
    </row>
    <row r="193" spans="44:259" ht="13.3" thickTop="1" thickBot="1" x14ac:dyDescent="0.35">
      <c r="AR193" s="1"/>
      <c r="AS193" s="1"/>
      <c r="AX193" s="2"/>
      <c r="DS193" s="33"/>
      <c r="DT193" s="33"/>
      <c r="DU193" s="33"/>
      <c r="DV193" s="33"/>
      <c r="DW193" s="33"/>
      <c r="DX193" s="1047" t="str">
        <f t="shared" si="771"/>
        <v/>
      </c>
      <c r="DY193" s="1019" t="str">
        <f t="shared" si="772"/>
        <v/>
      </c>
      <c r="DZ193" s="1018" t="str">
        <f t="shared" si="773"/>
        <v/>
      </c>
      <c r="EA193" s="1018" t="str">
        <f t="shared" si="774"/>
        <v/>
      </c>
      <c r="EB193" s="1022" t="str">
        <f t="shared" si="775"/>
        <v/>
      </c>
      <c r="EC193" s="1020" t="str">
        <f t="shared" si="776"/>
        <v/>
      </c>
      <c r="ED193" s="1017" t="str">
        <f t="shared" si="777"/>
        <v/>
      </c>
      <c r="EE193" s="1021" t="str">
        <f t="shared" si="778"/>
        <v/>
      </c>
      <c r="EF193" s="1029" t="str">
        <f t="shared" si="809"/>
        <v/>
      </c>
      <c r="EG193" s="1028">
        <v>24</v>
      </c>
      <c r="EH193" s="1026" t="str">
        <f t="shared" si="810"/>
        <v/>
      </c>
      <c r="EI193" s="1026" t="str">
        <f t="shared" si="811"/>
        <v/>
      </c>
      <c r="EJ193" s="33"/>
      <c r="EM193" s="750" t="str">
        <f t="shared" si="734"/>
        <v/>
      </c>
      <c r="EN193" s="58" t="str">
        <f t="shared" si="735"/>
        <v/>
      </c>
      <c r="EO193" s="748" t="str">
        <f t="shared" si="736"/>
        <v/>
      </c>
      <c r="EP193" s="751" t="str">
        <f>IF(OR(EN193="",EN193=0),"",IF($EO193&gt;'Quadro 1'!$G$23,'Quadro 1'!$G$23,IF($EO193&lt;'Quadro 1'!$G$10,'Quadro 1'!$G$10,EO193)))</f>
        <v/>
      </c>
      <c r="EQ193" s="33"/>
      <c r="ER193" s="735" t="str">
        <f t="shared" si="737"/>
        <v>Crítico</v>
      </c>
      <c r="ES193" s="741">
        <f t="shared" si="779"/>
        <v>1</v>
      </c>
      <c r="ET193" s="736" t="str">
        <f t="shared" si="738"/>
        <v/>
      </c>
      <c r="EU193" s="33">
        <f t="shared" si="739"/>
        <v>0</v>
      </c>
      <c r="EV193" s="735" t="str">
        <f t="shared" si="740"/>
        <v/>
      </c>
      <c r="EW193" s="741" t="str">
        <f t="shared" si="780"/>
        <v/>
      </c>
      <c r="EX193" s="743" t="str">
        <f t="shared" si="741"/>
        <v/>
      </c>
      <c r="EY193" s="33">
        <v>24</v>
      </c>
      <c r="EZ193" s="735" t="str">
        <f t="shared" si="742"/>
        <v/>
      </c>
      <c r="FA193" s="741" t="str">
        <f t="shared" si="781"/>
        <v/>
      </c>
      <c r="FB193" s="18">
        <f t="shared" si="782"/>
        <v>0</v>
      </c>
      <c r="FC193" s="735" t="str">
        <f t="shared" si="743"/>
        <v/>
      </c>
      <c r="FD193" s="734" t="str">
        <f t="shared" si="783"/>
        <v/>
      </c>
      <c r="FE193" s="1477">
        <f t="shared" si="808"/>
        <v>0</v>
      </c>
      <c r="FF193" s="275" t="str">
        <f t="shared" si="744"/>
        <v/>
      </c>
      <c r="FG193" s="145" t="str">
        <f t="shared" si="745"/>
        <v/>
      </c>
      <c r="FH193" s="726">
        <f t="shared" si="746"/>
        <v>0</v>
      </c>
      <c r="FJ193" s="701" t="str">
        <f t="shared" si="784"/>
        <v/>
      </c>
      <c r="FK193" s="66">
        <f t="shared" si="747"/>
        <v>0</v>
      </c>
      <c r="FN193" s="701" t="str">
        <f t="shared" si="785"/>
        <v/>
      </c>
      <c r="FO193" s="66">
        <f t="shared" si="748"/>
        <v>0</v>
      </c>
      <c r="FR193" s="701" t="str">
        <f t="shared" si="786"/>
        <v/>
      </c>
      <c r="FS193" s="66">
        <f t="shared" si="749"/>
        <v>0</v>
      </c>
      <c r="FV193" s="701" t="str">
        <f t="shared" si="787"/>
        <v/>
      </c>
      <c r="FW193" s="66">
        <f t="shared" si="750"/>
        <v>0</v>
      </c>
      <c r="FZ193" s="701" t="str">
        <f t="shared" si="788"/>
        <v/>
      </c>
      <c r="GA193" s="66">
        <f t="shared" si="751"/>
        <v>0</v>
      </c>
      <c r="GD193" s="701" t="str">
        <f t="shared" si="789"/>
        <v/>
      </c>
      <c r="GE193" s="66">
        <f t="shared" si="752"/>
        <v>0</v>
      </c>
      <c r="GH193" s="701" t="str">
        <f t="shared" si="790"/>
        <v/>
      </c>
      <c r="GI193" s="66">
        <f t="shared" si="753"/>
        <v>0</v>
      </c>
      <c r="GL193" s="701" t="str">
        <f t="shared" si="791"/>
        <v/>
      </c>
      <c r="GM193" s="66">
        <f t="shared" si="754"/>
        <v>0</v>
      </c>
      <c r="GP193" s="701" t="str">
        <f t="shared" si="792"/>
        <v/>
      </c>
      <c r="GQ193" s="66">
        <f t="shared" si="755"/>
        <v>0</v>
      </c>
      <c r="GT193" s="701" t="str">
        <f t="shared" si="793"/>
        <v/>
      </c>
      <c r="GU193" s="66">
        <f t="shared" si="756"/>
        <v>0</v>
      </c>
      <c r="GX193" s="701" t="str">
        <f t="shared" si="794"/>
        <v/>
      </c>
      <c r="GY193" s="66">
        <f t="shared" si="757"/>
        <v>0</v>
      </c>
      <c r="HB193" s="701" t="str">
        <f t="shared" si="795"/>
        <v/>
      </c>
      <c r="HC193" s="66">
        <f t="shared" si="758"/>
        <v>0</v>
      </c>
      <c r="HF193" s="701" t="str">
        <f t="shared" si="796"/>
        <v/>
      </c>
      <c r="HG193" s="66">
        <f t="shared" si="759"/>
        <v>0</v>
      </c>
      <c r="HJ193" s="701" t="str">
        <f t="shared" si="797"/>
        <v/>
      </c>
      <c r="HK193" s="66">
        <f t="shared" si="760"/>
        <v>0</v>
      </c>
      <c r="HN193" s="701" t="str">
        <f t="shared" si="798"/>
        <v/>
      </c>
      <c r="HO193" s="66">
        <f t="shared" si="761"/>
        <v>0</v>
      </c>
      <c r="HR193" s="701" t="str">
        <f t="shared" si="799"/>
        <v/>
      </c>
      <c r="HS193" s="66">
        <f t="shared" si="762"/>
        <v>0</v>
      </c>
      <c r="HV193" s="701" t="str">
        <f t="shared" si="800"/>
        <v/>
      </c>
      <c r="HW193" s="66">
        <f t="shared" si="763"/>
        <v>0</v>
      </c>
      <c r="HZ193" s="701" t="str">
        <f t="shared" si="801"/>
        <v/>
      </c>
      <c r="IA193" s="66">
        <f t="shared" si="764"/>
        <v>0</v>
      </c>
      <c r="ID193" s="701" t="str">
        <f t="shared" si="802"/>
        <v/>
      </c>
      <c r="IE193" s="66">
        <f t="shared" si="765"/>
        <v>0</v>
      </c>
      <c r="IH193" s="701" t="str">
        <f t="shared" si="803"/>
        <v/>
      </c>
      <c r="II193" s="66">
        <f t="shared" si="766"/>
        <v>0</v>
      </c>
      <c r="IL193" s="701" t="str">
        <f t="shared" si="804"/>
        <v/>
      </c>
      <c r="IM193" s="66">
        <f t="shared" si="767"/>
        <v>0</v>
      </c>
      <c r="IP193" s="701" t="str">
        <f t="shared" si="805"/>
        <v/>
      </c>
      <c r="IQ193" s="66">
        <f t="shared" si="768"/>
        <v>0</v>
      </c>
      <c r="IT193" s="701" t="str">
        <f t="shared" si="806"/>
        <v/>
      </c>
      <c r="IU193" s="66">
        <f t="shared" si="769"/>
        <v>0</v>
      </c>
      <c r="IX193" s="701" t="str">
        <f t="shared" si="807"/>
        <v/>
      </c>
      <c r="IY193" s="66">
        <f t="shared" si="770"/>
        <v>0</v>
      </c>
    </row>
    <row r="194" spans="44:259" ht="13.3" thickTop="1" thickBot="1" x14ac:dyDescent="0.35">
      <c r="AR194" s="1"/>
      <c r="AS194" s="1"/>
      <c r="AX194" s="2"/>
      <c r="DS194" s="33"/>
      <c r="DT194" s="33"/>
      <c r="DU194" s="33"/>
      <c r="DV194" s="33"/>
      <c r="DW194" s="33"/>
      <c r="DX194" s="1047" t="str">
        <f t="shared" si="771"/>
        <v/>
      </c>
      <c r="DY194" s="1019" t="str">
        <f t="shared" si="772"/>
        <v/>
      </c>
      <c r="DZ194" s="1018" t="str">
        <f t="shared" si="773"/>
        <v/>
      </c>
      <c r="EA194" s="1018" t="str">
        <f t="shared" si="774"/>
        <v/>
      </c>
      <c r="EB194" s="1022" t="str">
        <f t="shared" si="775"/>
        <v/>
      </c>
      <c r="EC194" s="1020" t="str">
        <f t="shared" si="776"/>
        <v/>
      </c>
      <c r="ED194" s="1017" t="str">
        <f t="shared" si="777"/>
        <v/>
      </c>
      <c r="EE194" s="1021" t="str">
        <f t="shared" si="778"/>
        <v/>
      </c>
      <c r="EF194" s="1029" t="str">
        <f t="shared" si="809"/>
        <v/>
      </c>
      <c r="EG194" s="1028">
        <v>25</v>
      </c>
      <c r="EH194" s="1026" t="str">
        <f t="shared" si="810"/>
        <v/>
      </c>
      <c r="EI194" s="1026" t="str">
        <f t="shared" si="811"/>
        <v/>
      </c>
      <c r="EJ194" s="33"/>
      <c r="EM194" s="750" t="str">
        <f t="shared" si="734"/>
        <v/>
      </c>
      <c r="EN194" s="58" t="str">
        <f t="shared" si="735"/>
        <v/>
      </c>
      <c r="EO194" s="748" t="str">
        <f t="shared" si="736"/>
        <v/>
      </c>
      <c r="EP194" s="751" t="str">
        <f>IF(OR(EN194="",EN194=0),"",IF($EO194&gt;'Quadro 1'!$G$23,'Quadro 1'!$G$23,IF($EO194&lt;'Quadro 1'!$G$10,'Quadro 1'!$G$10,EO194)))</f>
        <v/>
      </c>
      <c r="EQ194" s="33"/>
      <c r="ER194" s="735" t="str">
        <f t="shared" si="737"/>
        <v>Crítico</v>
      </c>
      <c r="ES194" s="741">
        <f t="shared" si="779"/>
        <v>1</v>
      </c>
      <c r="ET194" s="736" t="str">
        <f t="shared" si="738"/>
        <v/>
      </c>
      <c r="EU194" s="33">
        <f t="shared" si="739"/>
        <v>0</v>
      </c>
      <c r="EV194" s="735" t="str">
        <f t="shared" si="740"/>
        <v/>
      </c>
      <c r="EW194" s="741" t="str">
        <f t="shared" si="780"/>
        <v/>
      </c>
      <c r="EX194" s="743" t="str">
        <f t="shared" si="741"/>
        <v/>
      </c>
      <c r="EY194" s="33">
        <v>25</v>
      </c>
      <c r="EZ194" s="735" t="str">
        <f t="shared" si="742"/>
        <v/>
      </c>
      <c r="FA194" s="741" t="str">
        <f t="shared" si="781"/>
        <v/>
      </c>
      <c r="FB194" s="18">
        <f t="shared" si="782"/>
        <v>0</v>
      </c>
      <c r="FC194" s="735" t="str">
        <f t="shared" si="743"/>
        <v/>
      </c>
      <c r="FD194" s="734" t="str">
        <f t="shared" si="783"/>
        <v/>
      </c>
      <c r="FE194" s="1477">
        <f t="shared" si="808"/>
        <v>0</v>
      </c>
      <c r="FF194" s="275" t="str">
        <f t="shared" si="744"/>
        <v/>
      </c>
      <c r="FG194" s="145" t="str">
        <f t="shared" si="745"/>
        <v/>
      </c>
      <c r="FH194" s="726">
        <f t="shared" si="746"/>
        <v>0</v>
      </c>
      <c r="FJ194" s="701" t="str">
        <f t="shared" si="784"/>
        <v/>
      </c>
      <c r="FK194" s="66">
        <f t="shared" si="747"/>
        <v>0</v>
      </c>
      <c r="FN194" s="701" t="str">
        <f t="shared" si="785"/>
        <v/>
      </c>
      <c r="FO194" s="66">
        <f t="shared" si="748"/>
        <v>0</v>
      </c>
      <c r="FR194" s="701" t="str">
        <f t="shared" si="786"/>
        <v/>
      </c>
      <c r="FS194" s="66">
        <f t="shared" si="749"/>
        <v>0</v>
      </c>
      <c r="FV194" s="701" t="str">
        <f t="shared" si="787"/>
        <v/>
      </c>
      <c r="FW194" s="66">
        <f t="shared" si="750"/>
        <v>0</v>
      </c>
      <c r="FZ194" s="701" t="str">
        <f t="shared" si="788"/>
        <v/>
      </c>
      <c r="GA194" s="66">
        <f t="shared" si="751"/>
        <v>0</v>
      </c>
      <c r="GD194" s="701" t="str">
        <f t="shared" si="789"/>
        <v/>
      </c>
      <c r="GE194" s="66">
        <f t="shared" si="752"/>
        <v>0</v>
      </c>
      <c r="GH194" s="701" t="str">
        <f t="shared" si="790"/>
        <v/>
      </c>
      <c r="GI194" s="66">
        <f t="shared" si="753"/>
        <v>0</v>
      </c>
      <c r="GL194" s="701" t="str">
        <f t="shared" si="791"/>
        <v/>
      </c>
      <c r="GM194" s="66">
        <f t="shared" si="754"/>
        <v>0</v>
      </c>
      <c r="GP194" s="701" t="str">
        <f t="shared" si="792"/>
        <v/>
      </c>
      <c r="GQ194" s="66">
        <f t="shared" si="755"/>
        <v>0</v>
      </c>
      <c r="GT194" s="701" t="str">
        <f t="shared" si="793"/>
        <v/>
      </c>
      <c r="GU194" s="66">
        <f t="shared" si="756"/>
        <v>0</v>
      </c>
      <c r="GX194" s="701" t="str">
        <f t="shared" si="794"/>
        <v/>
      </c>
      <c r="GY194" s="66">
        <f t="shared" si="757"/>
        <v>0</v>
      </c>
      <c r="HB194" s="701" t="str">
        <f t="shared" si="795"/>
        <v/>
      </c>
      <c r="HC194" s="66">
        <f t="shared" si="758"/>
        <v>0</v>
      </c>
      <c r="HF194" s="701" t="str">
        <f t="shared" si="796"/>
        <v/>
      </c>
      <c r="HG194" s="66">
        <f t="shared" si="759"/>
        <v>0</v>
      </c>
      <c r="HJ194" s="701" t="str">
        <f t="shared" si="797"/>
        <v/>
      </c>
      <c r="HK194" s="66">
        <f t="shared" si="760"/>
        <v>0</v>
      </c>
      <c r="HN194" s="701" t="str">
        <f t="shared" si="798"/>
        <v/>
      </c>
      <c r="HO194" s="66">
        <f t="shared" si="761"/>
        <v>0</v>
      </c>
      <c r="HR194" s="701" t="str">
        <f t="shared" si="799"/>
        <v/>
      </c>
      <c r="HS194" s="66">
        <f t="shared" si="762"/>
        <v>0</v>
      </c>
      <c r="HV194" s="701" t="str">
        <f t="shared" si="800"/>
        <v/>
      </c>
      <c r="HW194" s="66">
        <f t="shared" si="763"/>
        <v>0</v>
      </c>
      <c r="HZ194" s="701" t="str">
        <f t="shared" si="801"/>
        <v/>
      </c>
      <c r="IA194" s="66">
        <f t="shared" si="764"/>
        <v>0</v>
      </c>
      <c r="ID194" s="701" t="str">
        <f t="shared" si="802"/>
        <v/>
      </c>
      <c r="IE194" s="66">
        <f t="shared" si="765"/>
        <v>0</v>
      </c>
      <c r="IH194" s="701" t="str">
        <f t="shared" si="803"/>
        <v/>
      </c>
      <c r="II194" s="66">
        <f t="shared" si="766"/>
        <v>0</v>
      </c>
      <c r="IL194" s="701" t="str">
        <f t="shared" si="804"/>
        <v/>
      </c>
      <c r="IM194" s="66">
        <f t="shared" si="767"/>
        <v>0</v>
      </c>
      <c r="IP194" s="701" t="str">
        <f t="shared" si="805"/>
        <v/>
      </c>
      <c r="IQ194" s="66">
        <f t="shared" si="768"/>
        <v>0</v>
      </c>
      <c r="IT194" s="701" t="str">
        <f t="shared" si="806"/>
        <v/>
      </c>
      <c r="IU194" s="66">
        <f t="shared" si="769"/>
        <v>0</v>
      </c>
      <c r="IX194" s="701" t="str">
        <f t="shared" si="807"/>
        <v/>
      </c>
      <c r="IY194" s="66">
        <f t="shared" si="770"/>
        <v>0</v>
      </c>
    </row>
    <row r="195" spans="44:259" ht="12.9" thickTop="1" x14ac:dyDescent="0.3">
      <c r="AR195" s="1"/>
      <c r="AS195" s="1"/>
      <c r="AX195" s="2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M195" s="33"/>
      <c r="EN195" s="33"/>
      <c r="EO195" s="33"/>
      <c r="EP195" s="33"/>
      <c r="EQ195" s="33"/>
      <c r="ER195" s="482" t="s">
        <v>123</v>
      </c>
      <c r="ES195" s="441">
        <f>SUM(ES170:ES194)</f>
        <v>25</v>
      </c>
      <c r="ET195" s="33"/>
      <c r="EU195" s="33"/>
      <c r="EV195" s="482" t="s">
        <v>123</v>
      </c>
      <c r="EW195" s="441">
        <f>SUM(EW170:EW194)</f>
        <v>0</v>
      </c>
      <c r="EX195" s="745"/>
      <c r="EY195" s="745"/>
      <c r="EZ195" s="482" t="s">
        <v>123</v>
      </c>
      <c r="FA195" s="441">
        <f>SUM(FA170:FA194)</f>
        <v>0</v>
      </c>
      <c r="FB195" s="441"/>
      <c r="FC195" s="482" t="s">
        <v>123</v>
      </c>
      <c r="FD195" s="441">
        <f>SUM(FD170:FD194)</f>
        <v>0</v>
      </c>
      <c r="FE195" s="744">
        <f>MAX(FE170:FE194)</f>
        <v>0</v>
      </c>
    </row>
    <row r="196" spans="44:259" x14ac:dyDescent="0.3">
      <c r="AR196" s="1"/>
      <c r="AS196" s="1"/>
      <c r="AX196" s="2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</row>
    <row r="197" spans="44:259" x14ac:dyDescent="0.3">
      <c r="AR197" s="1"/>
      <c r="AS197" s="1"/>
      <c r="AX197" s="2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</row>
    <row r="198" spans="44:259" x14ac:dyDescent="0.3">
      <c r="AR198" s="1"/>
      <c r="AS198" s="1"/>
      <c r="AX198" s="2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</row>
    <row r="199" spans="44:259" x14ac:dyDescent="0.3">
      <c r="AR199" s="1"/>
      <c r="AS199" s="1"/>
      <c r="AX199" s="2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</row>
    <row r="200" spans="44:259" x14ac:dyDescent="0.3">
      <c r="AR200" s="1"/>
      <c r="AS200" s="1"/>
      <c r="AX200" s="2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</row>
    <row r="201" spans="44:259" x14ac:dyDescent="0.3">
      <c r="AR201" s="1"/>
      <c r="AS201" s="1"/>
      <c r="AX201" s="2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</row>
    <row r="202" spans="44:259" x14ac:dyDescent="0.3">
      <c r="AR202" s="1"/>
      <c r="AS202" s="1"/>
      <c r="AX202" s="2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</row>
    <row r="203" spans="44:259" x14ac:dyDescent="0.3">
      <c r="AR203" s="1"/>
      <c r="AS203" s="1"/>
      <c r="AX203" s="2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</row>
    <row r="204" spans="44:259" x14ac:dyDescent="0.3">
      <c r="AR204" s="1"/>
      <c r="AS204" s="1"/>
      <c r="AX204" s="2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</row>
    <row r="205" spans="44:259" x14ac:dyDescent="0.3">
      <c r="AR205" s="1"/>
      <c r="AS205" s="1"/>
      <c r="AX205" s="2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</row>
    <row r="206" spans="44:259" x14ac:dyDescent="0.3">
      <c r="AR206" s="1"/>
      <c r="AS206" s="1"/>
      <c r="AX206" s="2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</row>
    <row r="207" spans="44:259" x14ac:dyDescent="0.3">
      <c r="AR207" s="1"/>
      <c r="AS207" s="1"/>
      <c r="AX207" s="2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</row>
    <row r="208" spans="44:259" x14ac:dyDescent="0.3">
      <c r="AR208" s="1"/>
      <c r="AS208" s="1"/>
      <c r="AX208" s="2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</row>
    <row r="209" spans="44:155" x14ac:dyDescent="0.3">
      <c r="AR209" s="1"/>
      <c r="AS209" s="1"/>
      <c r="AX209" s="2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</row>
    <row r="210" spans="44:155" x14ac:dyDescent="0.3">
      <c r="AR210" s="1"/>
      <c r="AS210" s="1"/>
      <c r="AX210" s="2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</row>
    <row r="211" spans="44:155" x14ac:dyDescent="0.3">
      <c r="AR211" s="1"/>
      <c r="AS211" s="1"/>
      <c r="AX211" s="2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</row>
    <row r="212" spans="44:155" x14ac:dyDescent="0.3">
      <c r="AR212" s="1"/>
      <c r="AS212" s="1"/>
      <c r="AX212" s="2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</row>
    <row r="213" spans="44:155" x14ac:dyDescent="0.3">
      <c r="AR213" s="1"/>
      <c r="AS213" s="1"/>
      <c r="AX213" s="2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</row>
    <row r="214" spans="44:155" x14ac:dyDescent="0.3">
      <c r="AR214" s="1"/>
      <c r="AS214" s="1"/>
      <c r="AX214" s="2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</row>
    <row r="215" spans="44:155" x14ac:dyDescent="0.3">
      <c r="AR215" s="1"/>
      <c r="AS215" s="1"/>
      <c r="AX215" s="2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</row>
    <row r="216" spans="44:155" x14ac:dyDescent="0.3">
      <c r="AR216" s="1"/>
      <c r="AS216" s="1"/>
      <c r="AX216" s="2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</row>
    <row r="217" spans="44:155" x14ac:dyDescent="0.3">
      <c r="AR217" s="1"/>
      <c r="AS217" s="1"/>
      <c r="AX217" s="2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</row>
    <row r="218" spans="44:155" x14ac:dyDescent="0.3">
      <c r="AR218" s="1"/>
      <c r="AS218" s="1"/>
      <c r="AX218" s="2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</row>
    <row r="219" spans="44:155" x14ac:dyDescent="0.3">
      <c r="AR219" s="1"/>
      <c r="AS219" s="1"/>
      <c r="AX219" s="2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</row>
    <row r="220" spans="44:155" x14ac:dyDescent="0.3">
      <c r="AR220" s="1"/>
      <c r="AS220" s="1"/>
      <c r="AX220" s="2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</row>
    <row r="221" spans="44:155" x14ac:dyDescent="0.3">
      <c r="AR221" s="1"/>
      <c r="AS221" s="1"/>
      <c r="AX221" s="2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</row>
    <row r="222" spans="44:155" x14ac:dyDescent="0.3">
      <c r="AR222" s="1"/>
      <c r="AS222" s="1"/>
      <c r="AX222" s="2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</row>
    <row r="223" spans="44:155" x14ac:dyDescent="0.3">
      <c r="AR223" s="1"/>
      <c r="AS223" s="1"/>
      <c r="AX223" s="2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</row>
    <row r="224" spans="44:155" x14ac:dyDescent="0.3">
      <c r="AR224" s="1"/>
      <c r="AS224" s="1"/>
      <c r="AX224" s="2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</row>
    <row r="225" spans="44:155" x14ac:dyDescent="0.3">
      <c r="AR225" s="1"/>
      <c r="AS225" s="1"/>
      <c r="AX225" s="2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</row>
    <row r="226" spans="44:155" x14ac:dyDescent="0.3">
      <c r="AR226" s="1"/>
      <c r="AS226" s="1"/>
      <c r="AX226" s="2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</row>
    <row r="227" spans="44:155" x14ac:dyDescent="0.3">
      <c r="AR227" s="1"/>
      <c r="AS227" s="1"/>
      <c r="AX227" s="2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</row>
    <row r="228" spans="44:155" x14ac:dyDescent="0.3">
      <c r="AR228" s="1"/>
      <c r="AS228" s="1"/>
      <c r="AX228" s="2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</row>
    <row r="229" spans="44:155" x14ac:dyDescent="0.3">
      <c r="AR229" s="1"/>
      <c r="AS229" s="1"/>
      <c r="AX229" s="2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</row>
    <row r="230" spans="44:155" x14ac:dyDescent="0.3">
      <c r="AR230" s="1"/>
      <c r="AS230" s="1"/>
      <c r="AX230" s="2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</row>
    <row r="231" spans="44:155" x14ac:dyDescent="0.3">
      <c r="AR231" s="1"/>
      <c r="AS231" s="1"/>
      <c r="AX231" s="2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</row>
    <row r="232" spans="44:155" x14ac:dyDescent="0.3">
      <c r="AR232" s="1"/>
      <c r="AS232" s="1"/>
      <c r="AX232" s="2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</row>
    <row r="233" spans="44:155" x14ac:dyDescent="0.3">
      <c r="AR233" s="1"/>
      <c r="AS233" s="1"/>
      <c r="AX233" s="2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</row>
    <row r="234" spans="44:155" x14ac:dyDescent="0.3">
      <c r="AR234" s="1"/>
      <c r="AS234" s="1"/>
      <c r="AX234" s="2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</row>
    <row r="235" spans="44:155" x14ac:dyDescent="0.3">
      <c r="AR235" s="1"/>
      <c r="AS235" s="1"/>
      <c r="AX235" s="2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</row>
    <row r="236" spans="44:155" x14ac:dyDescent="0.3">
      <c r="AR236" s="1"/>
      <c r="AS236" s="1"/>
      <c r="AX236" s="2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</row>
    <row r="237" spans="44:155" x14ac:dyDescent="0.3">
      <c r="AR237" s="1"/>
      <c r="AS237" s="1"/>
      <c r="AX237" s="2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</row>
    <row r="238" spans="44:155" x14ac:dyDescent="0.3">
      <c r="AR238" s="1"/>
      <c r="AS238" s="1"/>
      <c r="AX238" s="2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</row>
    <row r="239" spans="44:155" x14ac:dyDescent="0.3">
      <c r="AR239" s="1"/>
      <c r="AS239" s="1"/>
      <c r="AX239" s="2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</row>
    <row r="240" spans="44:155" x14ac:dyDescent="0.3">
      <c r="AR240" s="1"/>
      <c r="AS240" s="1"/>
      <c r="AX240" s="2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</row>
    <row r="241" spans="44:155" x14ac:dyDescent="0.3">
      <c r="AR241" s="1"/>
      <c r="AS241" s="1"/>
      <c r="AX241" s="2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</row>
    <row r="242" spans="44:155" x14ac:dyDescent="0.3">
      <c r="AR242" s="1"/>
      <c r="AS242" s="1"/>
      <c r="AX242" s="2"/>
      <c r="DS242" s="33"/>
      <c r="DT242" s="33"/>
      <c r="DU242" s="33"/>
      <c r="DV242" s="33"/>
      <c r="DW242" s="33"/>
      <c r="DX242" s="33"/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</row>
    <row r="243" spans="44:155" x14ac:dyDescent="0.3">
      <c r="AR243" s="1"/>
      <c r="AS243" s="1"/>
      <c r="AX243" s="2"/>
      <c r="DS243" s="33"/>
      <c r="DT243" s="33"/>
      <c r="DU243" s="33"/>
      <c r="DV243" s="33"/>
      <c r="DW243" s="33"/>
      <c r="DX243" s="33"/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</row>
    <row r="244" spans="44:155" x14ac:dyDescent="0.3">
      <c r="AR244" s="1"/>
      <c r="AS244" s="1"/>
      <c r="AX244" s="2"/>
      <c r="DS244" s="33"/>
      <c r="DT244" s="33"/>
      <c r="DU244" s="33"/>
      <c r="DV244" s="33"/>
      <c r="DW244" s="33"/>
      <c r="DX244" s="33"/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</row>
    <row r="245" spans="44:155" x14ac:dyDescent="0.3">
      <c r="AR245" s="1"/>
      <c r="AS245" s="1"/>
      <c r="AX245" s="2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</row>
    <row r="246" spans="44:155" x14ac:dyDescent="0.3">
      <c r="AR246" s="1"/>
      <c r="AS246" s="1"/>
      <c r="AX246" s="2"/>
      <c r="DS246" s="33"/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</row>
    <row r="247" spans="44:155" x14ac:dyDescent="0.3">
      <c r="AR247" s="1"/>
      <c r="AS247" s="1"/>
      <c r="AX247" s="2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</row>
    <row r="248" spans="44:155" x14ac:dyDescent="0.3">
      <c r="AR248" s="1"/>
      <c r="AS248" s="1"/>
      <c r="AX248" s="2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</row>
    <row r="249" spans="44:155" x14ac:dyDescent="0.3">
      <c r="AR249" s="1"/>
      <c r="AS249" s="1"/>
      <c r="AX249" s="2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</row>
    <row r="250" spans="44:155" x14ac:dyDescent="0.3">
      <c r="AR250" s="1"/>
      <c r="AS250" s="1"/>
      <c r="AX250" s="2"/>
      <c r="DS250" s="33"/>
      <c r="DT250" s="33"/>
      <c r="DU250" s="33"/>
      <c r="DV250" s="33"/>
      <c r="DW250" s="33"/>
      <c r="DX250" s="33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</row>
    <row r="251" spans="44:155" x14ac:dyDescent="0.3">
      <c r="AR251" s="1"/>
      <c r="AS251" s="1"/>
      <c r="AX251" s="2"/>
      <c r="DS251" s="33"/>
      <c r="DT251" s="33"/>
      <c r="DU251" s="33"/>
      <c r="DV251" s="33"/>
      <c r="DW251" s="33"/>
      <c r="DX251" s="33"/>
      <c r="DY251" s="33"/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</row>
    <row r="252" spans="44:155" x14ac:dyDescent="0.3">
      <c r="AR252" s="1"/>
      <c r="AS252" s="1"/>
      <c r="AX252" s="2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</row>
    <row r="253" spans="44:155" x14ac:dyDescent="0.3">
      <c r="AR253" s="1"/>
      <c r="AS253" s="1"/>
      <c r="AX253" s="2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</row>
    <row r="254" spans="44:155" x14ac:dyDescent="0.3">
      <c r="AR254" s="1"/>
      <c r="AS254" s="1"/>
      <c r="AX254" s="2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</row>
    <row r="255" spans="44:155" x14ac:dyDescent="0.3">
      <c r="AR255" s="1"/>
      <c r="AS255" s="1"/>
      <c r="AX255" s="2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</row>
    <row r="256" spans="44:155" x14ac:dyDescent="0.3">
      <c r="AR256" s="1"/>
      <c r="AS256" s="1"/>
      <c r="AX256" s="2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</row>
    <row r="257" spans="44:155" x14ac:dyDescent="0.3">
      <c r="AR257" s="1"/>
      <c r="AS257" s="1"/>
      <c r="AX257" s="2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</row>
    <row r="258" spans="44:155" x14ac:dyDescent="0.3">
      <c r="AR258" s="1"/>
      <c r="AS258" s="1"/>
      <c r="AX258" s="2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</row>
    <row r="259" spans="44:155" x14ac:dyDescent="0.3">
      <c r="AR259" s="1"/>
      <c r="AS259" s="1"/>
      <c r="AX259" s="2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</row>
    <row r="260" spans="44:155" x14ac:dyDescent="0.3">
      <c r="AR260" s="1"/>
      <c r="AS260" s="1"/>
      <c r="AX260" s="2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</row>
    <row r="261" spans="44:155" x14ac:dyDescent="0.3">
      <c r="AR261" s="1"/>
      <c r="AS261" s="1"/>
      <c r="AX261" s="2"/>
      <c r="DS261" s="33"/>
      <c r="DT261" s="33"/>
      <c r="DU261" s="33"/>
      <c r="DV261" s="33"/>
      <c r="DW261" s="33"/>
      <c r="DX261" s="33"/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</row>
    <row r="262" spans="44:155" x14ac:dyDescent="0.3">
      <c r="AR262" s="1"/>
      <c r="AS262" s="1"/>
      <c r="AX262" s="2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</row>
    <row r="263" spans="44:155" x14ac:dyDescent="0.3">
      <c r="AR263" s="1"/>
      <c r="AS263" s="1"/>
      <c r="AX263" s="2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</row>
    <row r="264" spans="44:155" x14ac:dyDescent="0.3">
      <c r="AR264" s="1"/>
      <c r="AS264" s="1"/>
      <c r="AX264" s="2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</row>
    <row r="265" spans="44:155" x14ac:dyDescent="0.3">
      <c r="AR265" s="1"/>
      <c r="AS265" s="1"/>
      <c r="AX265" s="2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</row>
    <row r="266" spans="44:155" x14ac:dyDescent="0.3">
      <c r="AR266" s="1"/>
      <c r="AS266" s="1"/>
      <c r="AX266" s="2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</row>
    <row r="267" spans="44:155" x14ac:dyDescent="0.3">
      <c r="AR267" s="1"/>
      <c r="AS267" s="1"/>
      <c r="AX267" s="2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</row>
    <row r="268" spans="44:155" x14ac:dyDescent="0.3">
      <c r="AR268" s="1"/>
      <c r="AS268" s="1"/>
      <c r="AX268" s="2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</row>
    <row r="269" spans="44:155" x14ac:dyDescent="0.3">
      <c r="AR269" s="1"/>
      <c r="AS269" s="1"/>
      <c r="AX269" s="2"/>
      <c r="DS269" s="33"/>
      <c r="DT269" s="33"/>
      <c r="DU269" s="33"/>
      <c r="DV269" s="33"/>
      <c r="DW269" s="33"/>
      <c r="DX269" s="33"/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</row>
    <row r="270" spans="44:155" x14ac:dyDescent="0.3">
      <c r="AR270" s="1"/>
      <c r="AS270" s="1"/>
      <c r="AX270" s="2"/>
      <c r="DS270" s="33"/>
      <c r="DT270" s="33"/>
      <c r="DU270" s="33"/>
      <c r="DV270" s="33"/>
      <c r="DW270" s="33"/>
      <c r="DX270" s="33"/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</row>
    <row r="271" spans="44:155" x14ac:dyDescent="0.3">
      <c r="AR271" s="1"/>
      <c r="AS271" s="1"/>
      <c r="AX271" s="2"/>
      <c r="DS271" s="33"/>
      <c r="DT271" s="33"/>
      <c r="DU271" s="33"/>
      <c r="DV271" s="33"/>
      <c r="DW271" s="33"/>
      <c r="DX271" s="33"/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</row>
    <row r="272" spans="44:155" x14ac:dyDescent="0.3">
      <c r="AR272" s="1"/>
      <c r="AS272" s="1"/>
      <c r="AX272" s="2"/>
      <c r="DS272" s="33"/>
      <c r="DT272" s="33"/>
      <c r="DU272" s="33"/>
      <c r="DV272" s="33"/>
      <c r="DW272" s="33"/>
      <c r="DX272" s="33"/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</row>
    <row r="273" spans="44:155" x14ac:dyDescent="0.3">
      <c r="AR273" s="1"/>
      <c r="AS273" s="1"/>
      <c r="AX273" s="2"/>
      <c r="DS273" s="33"/>
      <c r="DT273" s="33"/>
      <c r="DU273" s="33"/>
      <c r="DV273" s="33"/>
      <c r="DW273" s="33"/>
      <c r="DX273" s="33"/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</row>
    <row r="274" spans="44:155" x14ac:dyDescent="0.3">
      <c r="AR274" s="1"/>
      <c r="AS274" s="1"/>
      <c r="AX274" s="2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</row>
    <row r="275" spans="44:155" x14ac:dyDescent="0.3">
      <c r="AR275" s="1"/>
      <c r="AS275" s="1"/>
      <c r="AX275" s="2"/>
      <c r="DS275" s="33"/>
      <c r="DT275" s="33"/>
      <c r="DU275" s="33"/>
      <c r="DV275" s="33"/>
      <c r="DW275" s="33"/>
      <c r="DX275" s="33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</row>
    <row r="276" spans="44:155" x14ac:dyDescent="0.3">
      <c r="AR276" s="1"/>
      <c r="AS276" s="1"/>
      <c r="AX276" s="2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</row>
    <row r="277" spans="44:155" x14ac:dyDescent="0.3">
      <c r="AR277" s="1"/>
      <c r="AS277" s="1"/>
      <c r="AX277" s="2"/>
      <c r="DS277" s="33"/>
      <c r="DT277" s="33"/>
      <c r="DU277" s="33"/>
      <c r="DV277" s="33"/>
      <c r="DW277" s="33"/>
      <c r="DX277" s="33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</row>
    <row r="278" spans="44:155" x14ac:dyDescent="0.3">
      <c r="AR278" s="1"/>
      <c r="AS278" s="1"/>
      <c r="AX278" s="2"/>
      <c r="DS278" s="33"/>
      <c r="DT278" s="33"/>
      <c r="DU278" s="33"/>
      <c r="DV278" s="33"/>
      <c r="DW278" s="33"/>
      <c r="DX278" s="33"/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</row>
    <row r="279" spans="44:155" x14ac:dyDescent="0.3">
      <c r="AR279" s="1"/>
      <c r="AS279" s="1"/>
      <c r="AX279" s="2"/>
      <c r="DS279" s="33"/>
      <c r="DT279" s="33"/>
      <c r="DU279" s="33"/>
      <c r="DV279" s="33"/>
      <c r="DW279" s="33"/>
      <c r="DX279" s="33"/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</row>
    <row r="280" spans="44:155" x14ac:dyDescent="0.3">
      <c r="AR280" s="1"/>
      <c r="AS280" s="1"/>
      <c r="AX280" s="2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</row>
    <row r="281" spans="44:155" x14ac:dyDescent="0.3">
      <c r="AR281" s="1"/>
      <c r="AS281" s="1"/>
      <c r="AX281" s="2"/>
      <c r="DS281" s="33"/>
      <c r="DT281" s="33"/>
      <c r="DU281" s="33"/>
      <c r="DV281" s="33"/>
      <c r="DW281" s="33"/>
      <c r="DX281" s="33"/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</row>
    <row r="282" spans="44:155" x14ac:dyDescent="0.3">
      <c r="AR282" s="1"/>
      <c r="AS282" s="1"/>
      <c r="AX282" s="2"/>
      <c r="DS282" s="33"/>
      <c r="DT282" s="33"/>
      <c r="DU282" s="33"/>
      <c r="DV282" s="33"/>
      <c r="DW282" s="33"/>
      <c r="DX282" s="33"/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</row>
    <row r="283" spans="44:155" x14ac:dyDescent="0.3">
      <c r="AR283" s="1"/>
      <c r="AS283" s="1"/>
      <c r="AX283" s="2"/>
      <c r="DS283" s="33"/>
      <c r="DT283" s="33"/>
      <c r="DU283" s="33"/>
      <c r="DV283" s="33"/>
      <c r="DW283" s="33"/>
      <c r="DX283" s="33"/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</row>
    <row r="284" spans="44:155" x14ac:dyDescent="0.3">
      <c r="AR284" s="1"/>
      <c r="AS284" s="1"/>
      <c r="AX284" s="2"/>
      <c r="DS284" s="33"/>
      <c r="DT284" s="33"/>
      <c r="DU284" s="33"/>
      <c r="DV284" s="33"/>
      <c r="DW284" s="33"/>
      <c r="DX284" s="33"/>
      <c r="DY284" s="33"/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</row>
    <row r="285" spans="44:155" x14ac:dyDescent="0.3">
      <c r="AR285" s="1"/>
      <c r="AS285" s="1"/>
      <c r="AX285" s="2"/>
      <c r="DS285" s="33"/>
      <c r="DT285" s="33"/>
      <c r="DU285" s="33"/>
      <c r="DV285" s="33"/>
      <c r="DW285" s="33"/>
      <c r="DX285" s="33"/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</row>
    <row r="286" spans="44:155" x14ac:dyDescent="0.3">
      <c r="AR286" s="1"/>
      <c r="AS286" s="1"/>
      <c r="AX286" s="2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</row>
    <row r="287" spans="44:155" x14ac:dyDescent="0.3">
      <c r="AR287" s="1"/>
      <c r="AS287" s="1"/>
      <c r="AX287" s="2"/>
      <c r="DS287" s="33"/>
      <c r="DT287" s="33"/>
      <c r="DU287" s="33"/>
      <c r="DV287" s="33"/>
      <c r="DW287" s="33"/>
      <c r="DX287" s="33"/>
      <c r="DY287" s="33"/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</row>
    <row r="288" spans="44:155" x14ac:dyDescent="0.3">
      <c r="AR288" s="1"/>
      <c r="AS288" s="1"/>
      <c r="AX288" s="2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</row>
    <row r="289" spans="44:155" x14ac:dyDescent="0.3">
      <c r="AR289" s="1"/>
      <c r="AS289" s="1"/>
      <c r="AX289" s="2"/>
      <c r="DS289" s="33"/>
      <c r="DT289" s="33"/>
      <c r="DU289" s="33"/>
      <c r="DV289" s="33"/>
      <c r="DW289" s="33"/>
      <c r="DX289" s="33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</row>
    <row r="290" spans="44:155" x14ac:dyDescent="0.3">
      <c r="AR290" s="1"/>
      <c r="AS290" s="1"/>
      <c r="AX290" s="2"/>
      <c r="DS290" s="33"/>
      <c r="DT290" s="33"/>
      <c r="DU290" s="33"/>
      <c r="DV290" s="33"/>
      <c r="DW290" s="33"/>
      <c r="DX290" s="33"/>
      <c r="DY290" s="33"/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</row>
    <row r="291" spans="44:155" x14ac:dyDescent="0.3">
      <c r="AR291" s="1"/>
      <c r="AS291" s="1"/>
      <c r="AX291" s="2"/>
      <c r="DS291" s="33"/>
      <c r="DT291" s="33"/>
      <c r="DU291" s="33"/>
      <c r="DV291" s="33"/>
      <c r="DW291" s="33"/>
      <c r="DX291" s="33"/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</row>
    <row r="292" spans="44:155" x14ac:dyDescent="0.3">
      <c r="AR292" s="1"/>
      <c r="AS292" s="1"/>
      <c r="AX292" s="2"/>
      <c r="DS292" s="33"/>
      <c r="DT292" s="33"/>
      <c r="DU292" s="33"/>
      <c r="DV292" s="33"/>
      <c r="DW292" s="33"/>
      <c r="DX292" s="33"/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</row>
    <row r="293" spans="44:155" x14ac:dyDescent="0.3">
      <c r="AR293" s="1"/>
      <c r="AS293" s="1"/>
      <c r="AX293" s="2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</row>
    <row r="294" spans="44:155" x14ac:dyDescent="0.3">
      <c r="AR294" s="1"/>
      <c r="AS294" s="1"/>
      <c r="AX294" s="2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</row>
    <row r="295" spans="44:155" x14ac:dyDescent="0.3">
      <c r="AR295" s="1"/>
      <c r="AS295" s="1"/>
      <c r="AX295" s="2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</row>
    <row r="296" spans="44:155" x14ac:dyDescent="0.3">
      <c r="AR296" s="1"/>
      <c r="AS296" s="1"/>
      <c r="AX296" s="2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</row>
    <row r="297" spans="44:155" x14ac:dyDescent="0.3">
      <c r="AR297" s="1"/>
      <c r="AS297" s="1"/>
      <c r="AX297" s="2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</row>
    <row r="298" spans="44:155" x14ac:dyDescent="0.3">
      <c r="AR298" s="1"/>
      <c r="AS298" s="1"/>
      <c r="AX298" s="2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</row>
    <row r="299" spans="44:155" x14ac:dyDescent="0.3">
      <c r="AR299" s="1"/>
      <c r="AS299" s="1"/>
      <c r="AX299" s="2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</row>
    <row r="300" spans="44:155" x14ac:dyDescent="0.3">
      <c r="AR300" s="1"/>
      <c r="AS300" s="1"/>
      <c r="AX300" s="2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</row>
    <row r="301" spans="44:155" x14ac:dyDescent="0.3">
      <c r="AR301" s="1"/>
      <c r="AS301" s="1"/>
      <c r="AX301" s="2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</row>
    <row r="302" spans="44:155" x14ac:dyDescent="0.3">
      <c r="AR302" s="1"/>
      <c r="AS302" s="1"/>
      <c r="AX302" s="2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</row>
    <row r="303" spans="44:155" x14ac:dyDescent="0.3">
      <c r="AR303" s="1"/>
      <c r="AS303" s="1"/>
      <c r="AX303" s="2"/>
      <c r="DS303" s="33"/>
      <c r="DT303" s="33"/>
      <c r="DU303" s="33"/>
      <c r="DV303" s="33"/>
      <c r="DW303" s="33"/>
      <c r="DX303" s="33"/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</row>
    <row r="304" spans="44:155" x14ac:dyDescent="0.3">
      <c r="AR304" s="1"/>
      <c r="AS304" s="1"/>
      <c r="AX304" s="2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</row>
    <row r="305" spans="44:155" x14ac:dyDescent="0.3">
      <c r="AR305" s="1"/>
      <c r="AS305" s="1"/>
      <c r="AX305" s="2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</row>
    <row r="306" spans="44:155" x14ac:dyDescent="0.3">
      <c r="AR306" s="1"/>
      <c r="AS306" s="1"/>
      <c r="AX306" s="2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</row>
    <row r="307" spans="44:155" x14ac:dyDescent="0.3">
      <c r="AR307" s="1"/>
      <c r="AS307" s="1"/>
      <c r="AX307" s="2"/>
      <c r="DS307" s="33"/>
      <c r="DT307" s="33"/>
      <c r="DU307" s="33"/>
      <c r="DV307" s="33"/>
      <c r="DW307" s="33"/>
      <c r="DX307" s="33"/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</row>
    <row r="308" spans="44:155" x14ac:dyDescent="0.3">
      <c r="AR308" s="1"/>
      <c r="AS308" s="1"/>
      <c r="AX308" s="2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</row>
    <row r="309" spans="44:155" x14ac:dyDescent="0.3">
      <c r="AR309" s="1"/>
      <c r="AS309" s="1"/>
      <c r="AX309" s="2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</row>
    <row r="310" spans="44:155" x14ac:dyDescent="0.3">
      <c r="AR310" s="1"/>
      <c r="AS310" s="1"/>
      <c r="AX310" s="2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</row>
    <row r="311" spans="44:155" x14ac:dyDescent="0.3">
      <c r="AR311" s="1"/>
      <c r="AS311" s="1"/>
      <c r="AX311" s="2"/>
      <c r="DS311" s="33"/>
      <c r="DT311" s="33"/>
      <c r="DU311" s="33"/>
      <c r="DV311" s="33"/>
      <c r="DW311" s="33"/>
      <c r="DX311" s="33"/>
      <c r="DY311" s="33"/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</row>
    <row r="312" spans="44:155" x14ac:dyDescent="0.3">
      <c r="AR312" s="1"/>
      <c r="AS312" s="1"/>
      <c r="AX312" s="2"/>
      <c r="DS312" s="33"/>
      <c r="DT312" s="33"/>
      <c r="DU312" s="33"/>
      <c r="DV312" s="33"/>
      <c r="DW312" s="33"/>
      <c r="DX312" s="33"/>
      <c r="DY312" s="33"/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</row>
    <row r="313" spans="44:155" x14ac:dyDescent="0.3">
      <c r="AR313" s="1"/>
      <c r="AS313" s="1"/>
      <c r="AX313" s="2"/>
      <c r="DS313" s="33"/>
      <c r="DT313" s="33"/>
      <c r="DU313" s="33"/>
      <c r="DV313" s="33"/>
      <c r="DW313" s="33"/>
      <c r="DX313" s="33"/>
      <c r="DY313" s="33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</row>
    <row r="314" spans="44:155" x14ac:dyDescent="0.3">
      <c r="AR314" s="1"/>
      <c r="AS314" s="1"/>
      <c r="AX314" s="2"/>
      <c r="DS314" s="33"/>
      <c r="DT314" s="33"/>
      <c r="DU314" s="33"/>
      <c r="DV314" s="33"/>
      <c r="DW314" s="33"/>
      <c r="DX314" s="33"/>
      <c r="DY314" s="33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</row>
    <row r="315" spans="44:155" x14ac:dyDescent="0.3">
      <c r="AR315" s="1"/>
      <c r="AS315" s="1"/>
      <c r="AX315" s="2"/>
      <c r="DS315" s="33"/>
      <c r="DT315" s="33"/>
      <c r="DU315" s="33"/>
      <c r="DV315" s="33"/>
      <c r="DW315" s="33"/>
      <c r="DX315" s="33"/>
      <c r="DY315" s="33"/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</row>
    <row r="316" spans="44:155" x14ac:dyDescent="0.3">
      <c r="AR316" s="1"/>
      <c r="AS316" s="1"/>
      <c r="AX316" s="2"/>
      <c r="DS316" s="33"/>
      <c r="DT316" s="33"/>
      <c r="DU316" s="33"/>
      <c r="DV316" s="33"/>
      <c r="DW316" s="33"/>
      <c r="DX316" s="33"/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</row>
    <row r="317" spans="44:155" x14ac:dyDescent="0.3">
      <c r="AR317" s="1"/>
      <c r="AS317" s="1"/>
      <c r="AX317" s="2"/>
      <c r="DS317" s="33"/>
      <c r="DT317" s="33"/>
      <c r="DU317" s="33"/>
      <c r="DV317" s="33"/>
      <c r="DW317" s="33"/>
      <c r="DX317" s="33"/>
      <c r="DY317" s="33"/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</row>
    <row r="318" spans="44:155" x14ac:dyDescent="0.3">
      <c r="AR318" s="1"/>
      <c r="AS318" s="1"/>
      <c r="AX318" s="2"/>
      <c r="DS318" s="33"/>
      <c r="DT318" s="33"/>
      <c r="DU318" s="33"/>
      <c r="DV318" s="33"/>
      <c r="DW318" s="33"/>
      <c r="DX318" s="33"/>
      <c r="DY318" s="33"/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</row>
    <row r="319" spans="44:155" x14ac:dyDescent="0.3">
      <c r="AR319" s="1"/>
      <c r="AS319" s="1"/>
      <c r="AX319" s="2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</row>
    <row r="320" spans="44:155" x14ac:dyDescent="0.3">
      <c r="AR320" s="1"/>
      <c r="AS320" s="1"/>
      <c r="AX320" s="2"/>
      <c r="DS320" s="33"/>
      <c r="DT320" s="33"/>
      <c r="DU320" s="33"/>
      <c r="DV320" s="33"/>
      <c r="DW320" s="33"/>
      <c r="DX320" s="33"/>
      <c r="DY320" s="33"/>
      <c r="DZ320" s="33"/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</row>
    <row r="321" spans="44:155" x14ac:dyDescent="0.3">
      <c r="AR321" s="1"/>
      <c r="AS321" s="1"/>
      <c r="AX321" s="2"/>
      <c r="DS321" s="33"/>
      <c r="DT321" s="33"/>
      <c r="DU321" s="33"/>
      <c r="DV321" s="33"/>
      <c r="DW321" s="33"/>
      <c r="DX321" s="33"/>
      <c r="DY321" s="33"/>
      <c r="DZ321" s="33"/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</row>
    <row r="322" spans="44:155" x14ac:dyDescent="0.3">
      <c r="AR322" s="1"/>
      <c r="AS322" s="1"/>
      <c r="AX322" s="2"/>
      <c r="DS322" s="33"/>
      <c r="DT322" s="33"/>
      <c r="DU322" s="33"/>
      <c r="DV322" s="33"/>
      <c r="DW322" s="33"/>
      <c r="DX322" s="33"/>
      <c r="DY322" s="33"/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</row>
    <row r="323" spans="44:155" x14ac:dyDescent="0.3">
      <c r="AR323" s="1"/>
      <c r="AS323" s="1"/>
      <c r="AX323" s="2"/>
      <c r="DS323" s="33"/>
      <c r="DT323" s="33"/>
      <c r="DU323" s="33"/>
      <c r="DV323" s="33"/>
      <c r="DW323" s="33"/>
      <c r="DX323" s="33"/>
      <c r="DY323" s="33"/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</row>
    <row r="324" spans="44:155" x14ac:dyDescent="0.3">
      <c r="AR324" s="1"/>
      <c r="AS324" s="1"/>
      <c r="AX324" s="2"/>
      <c r="DS324" s="33"/>
      <c r="DT324" s="33"/>
      <c r="DU324" s="33"/>
      <c r="DV324" s="33"/>
      <c r="DW324" s="33"/>
      <c r="DX324" s="33"/>
      <c r="DY324" s="33"/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</row>
    <row r="325" spans="44:155" x14ac:dyDescent="0.3">
      <c r="AR325" s="1"/>
      <c r="AS325" s="1"/>
      <c r="AT325" s="1"/>
      <c r="AU325" s="1"/>
      <c r="AV325" s="1"/>
      <c r="AW325" s="1"/>
      <c r="DS325" s="33"/>
      <c r="DT325" s="33"/>
      <c r="DU325" s="33"/>
      <c r="DV325" s="33"/>
      <c r="DW325" s="33"/>
      <c r="DX325" s="33"/>
      <c r="DY325" s="33"/>
      <c r="DZ325" s="33"/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</row>
    <row r="326" spans="44:155" x14ac:dyDescent="0.3">
      <c r="AR326" s="1"/>
      <c r="AS326" s="1"/>
      <c r="AT326" s="1"/>
      <c r="AU326" s="1"/>
      <c r="AV326" s="1"/>
      <c r="AW326" s="1"/>
      <c r="DS326" s="33"/>
      <c r="DT326" s="33"/>
      <c r="DU326" s="33"/>
      <c r="DV326" s="33"/>
      <c r="DW326" s="33"/>
      <c r="DX326" s="33"/>
      <c r="DY326" s="33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</row>
    <row r="327" spans="44:155" x14ac:dyDescent="0.3">
      <c r="AR327" s="1"/>
      <c r="AS327" s="1"/>
      <c r="AT327" s="1"/>
      <c r="AU327" s="1"/>
      <c r="AV327" s="1"/>
      <c r="AW327" s="1"/>
      <c r="DS327" s="33"/>
      <c r="DT327" s="33"/>
      <c r="DU327" s="33"/>
      <c r="DV327" s="33"/>
      <c r="DW327" s="33"/>
      <c r="DX327" s="33"/>
      <c r="DY327" s="33"/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</row>
    <row r="328" spans="44:155" x14ac:dyDescent="0.3">
      <c r="AR328" s="1"/>
      <c r="AS328" s="1"/>
      <c r="AT328" s="1"/>
      <c r="AU328" s="1"/>
      <c r="AV328" s="1"/>
      <c r="AW328" s="1"/>
      <c r="DS328" s="33"/>
      <c r="DT328" s="33"/>
      <c r="DU328" s="33"/>
      <c r="DV328" s="33"/>
      <c r="DW328" s="33"/>
      <c r="DX328" s="33"/>
      <c r="DY328" s="33"/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</row>
    <row r="329" spans="44:155" x14ac:dyDescent="0.3">
      <c r="AR329" s="1"/>
      <c r="AS329" s="1"/>
      <c r="AT329" s="1"/>
      <c r="AU329" s="1"/>
      <c r="AV329" s="1"/>
      <c r="AW329" s="1"/>
      <c r="DS329" s="33"/>
      <c r="DT329" s="33"/>
      <c r="DU329" s="33"/>
      <c r="DV329" s="33"/>
      <c r="DW329" s="33"/>
      <c r="DX329" s="33"/>
      <c r="DY329" s="33"/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</row>
    <row r="330" spans="44:155" x14ac:dyDescent="0.3">
      <c r="AR330" s="1"/>
      <c r="AS330" s="1"/>
      <c r="AT330" s="1"/>
      <c r="AU330" s="1"/>
      <c r="AV330" s="1"/>
      <c r="AW330" s="1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</row>
    <row r="331" spans="44:155" x14ac:dyDescent="0.3">
      <c r="AR331" s="1"/>
      <c r="AS331" s="1"/>
      <c r="AT331" s="1"/>
      <c r="AU331" s="1"/>
      <c r="AV331" s="1"/>
      <c r="AW331" s="1"/>
      <c r="DS331" s="33"/>
      <c r="DT331" s="33"/>
      <c r="DU331" s="33"/>
      <c r="DV331" s="33"/>
      <c r="DW331" s="33"/>
      <c r="DX331" s="33"/>
      <c r="DY331" s="33"/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</row>
    <row r="332" spans="44:155" x14ac:dyDescent="0.3">
      <c r="AR332" s="1"/>
      <c r="AS332" s="1"/>
      <c r="AT332" s="1"/>
      <c r="AU332" s="1"/>
      <c r="AV332" s="1"/>
      <c r="AW332" s="1"/>
      <c r="DS332" s="33"/>
      <c r="DT332" s="33"/>
      <c r="DU332" s="33"/>
      <c r="DV332" s="33"/>
      <c r="DW332" s="33"/>
      <c r="DX332" s="33"/>
      <c r="DY332" s="33"/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</row>
    <row r="333" spans="44:155" x14ac:dyDescent="0.3">
      <c r="AR333" s="1"/>
      <c r="AS333" s="1"/>
      <c r="AT333" s="1"/>
      <c r="AU333" s="1"/>
      <c r="AV333" s="1"/>
      <c r="AW333" s="1"/>
      <c r="DS333" s="33"/>
      <c r="DT333" s="33"/>
      <c r="DU333" s="33"/>
      <c r="DV333" s="33"/>
      <c r="DW333" s="33"/>
      <c r="DX333" s="33"/>
      <c r="DY333" s="33"/>
      <c r="DZ333" s="33"/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</row>
    <row r="334" spans="44:155" x14ac:dyDescent="0.3">
      <c r="AR334" s="1"/>
      <c r="AS334" s="1"/>
      <c r="AT334" s="1"/>
      <c r="AU334" s="1"/>
      <c r="AV334" s="1"/>
      <c r="AW334" s="1"/>
      <c r="DS334" s="33"/>
      <c r="DT334" s="33"/>
      <c r="DU334" s="33"/>
      <c r="DV334" s="33"/>
      <c r="DW334" s="33"/>
      <c r="DX334" s="33"/>
      <c r="DY334" s="33"/>
      <c r="DZ334" s="33"/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</row>
    <row r="335" spans="44:155" x14ac:dyDescent="0.3">
      <c r="AR335" s="1"/>
      <c r="AS335" s="1"/>
      <c r="AT335" s="1"/>
      <c r="AU335" s="1"/>
      <c r="AV335" s="1"/>
      <c r="AW335" s="1"/>
      <c r="DS335" s="33"/>
      <c r="DT335" s="33"/>
      <c r="DU335" s="33"/>
      <c r="DV335" s="33"/>
      <c r="DW335" s="33"/>
      <c r="DX335" s="33"/>
      <c r="DY335" s="33"/>
      <c r="DZ335" s="33"/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</row>
    <row r="336" spans="44:155" x14ac:dyDescent="0.3">
      <c r="AR336" s="1"/>
      <c r="AS336" s="1"/>
      <c r="AT336" s="1"/>
      <c r="AU336" s="1"/>
      <c r="AV336" s="1"/>
      <c r="AW336" s="1"/>
      <c r="DS336" s="33"/>
      <c r="DT336" s="33"/>
      <c r="DU336" s="33"/>
      <c r="DV336" s="33"/>
      <c r="DW336" s="33"/>
      <c r="DX336" s="33"/>
      <c r="DY336" s="33"/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</row>
    <row r="337" spans="44:155" x14ac:dyDescent="0.3">
      <c r="AR337" s="1"/>
      <c r="AS337" s="1"/>
      <c r="AT337" s="1"/>
      <c r="AU337" s="1"/>
      <c r="AV337" s="1"/>
      <c r="AW337" s="1"/>
      <c r="DS337" s="33"/>
      <c r="DT337" s="33"/>
      <c r="DU337" s="33"/>
      <c r="DV337" s="33"/>
      <c r="DW337" s="33"/>
      <c r="DX337" s="33"/>
      <c r="DY337" s="33"/>
      <c r="DZ337" s="33"/>
      <c r="EA337" s="33"/>
      <c r="EB337" s="33"/>
      <c r="EC337" s="33"/>
      <c r="ED337" s="33"/>
      <c r="EE337" s="33"/>
      <c r="EF337" s="33"/>
      <c r="EG337" s="33"/>
      <c r="EH337" s="33"/>
      <c r="EI337" s="33"/>
      <c r="EJ337" s="33"/>
      <c r="EK337" s="33"/>
      <c r="EL337" s="33"/>
      <c r="EM337" s="33"/>
      <c r="EN337" s="33"/>
      <c r="EO337" s="33"/>
      <c r="EP337" s="33"/>
      <c r="EQ337" s="33"/>
      <c r="ER337" s="33"/>
      <c r="ES337" s="33"/>
      <c r="ET337" s="33"/>
      <c r="EU337" s="33"/>
      <c r="EV337" s="33"/>
      <c r="EW337" s="33"/>
      <c r="EX337" s="33"/>
      <c r="EY337" s="33"/>
    </row>
    <row r="338" spans="44:155" x14ac:dyDescent="0.3">
      <c r="AR338" s="1"/>
      <c r="AS338" s="1"/>
      <c r="AT338" s="1"/>
      <c r="AU338" s="1"/>
      <c r="AV338" s="1"/>
      <c r="AW338" s="1"/>
      <c r="DS338" s="33"/>
      <c r="DT338" s="33"/>
      <c r="DU338" s="33"/>
      <c r="DV338" s="33"/>
      <c r="DW338" s="33"/>
      <c r="DX338" s="33"/>
      <c r="DY338" s="33"/>
      <c r="DZ338" s="33"/>
      <c r="EA338" s="33"/>
      <c r="EB338" s="33"/>
      <c r="EC338" s="33"/>
      <c r="ED338" s="33"/>
      <c r="EE338" s="33"/>
      <c r="EF338" s="33"/>
      <c r="EG338" s="33"/>
      <c r="EH338" s="33"/>
      <c r="EI338" s="33"/>
      <c r="EJ338" s="33"/>
      <c r="EK338" s="33"/>
      <c r="EL338" s="33"/>
      <c r="EM338" s="33"/>
      <c r="EN338" s="33"/>
      <c r="EO338" s="33"/>
      <c r="EP338" s="33"/>
      <c r="EQ338" s="33"/>
      <c r="ER338" s="33"/>
      <c r="ES338" s="33"/>
      <c r="ET338" s="33"/>
      <c r="EU338" s="33"/>
      <c r="EV338" s="33"/>
      <c r="EW338" s="33"/>
      <c r="EX338" s="33"/>
      <c r="EY338" s="33"/>
    </row>
    <row r="339" spans="44:155" x14ac:dyDescent="0.3">
      <c r="AR339" s="1"/>
      <c r="AS339" s="1"/>
      <c r="AT339" s="1"/>
      <c r="AU339" s="1"/>
      <c r="AV339" s="1"/>
      <c r="AW339" s="1"/>
      <c r="DS339" s="33"/>
      <c r="DT339" s="33"/>
      <c r="DU339" s="33"/>
      <c r="DV339" s="33"/>
      <c r="DW339" s="33"/>
      <c r="DX339" s="33"/>
      <c r="DY339" s="33"/>
      <c r="DZ339" s="33"/>
      <c r="EA339" s="33"/>
      <c r="EB339" s="33"/>
      <c r="EC339" s="33"/>
      <c r="ED339" s="33"/>
      <c r="EE339" s="33"/>
      <c r="EF339" s="33"/>
      <c r="EG339" s="33"/>
      <c r="EH339" s="33"/>
      <c r="EI339" s="33"/>
      <c r="EJ339" s="33"/>
      <c r="EK339" s="33"/>
      <c r="EL339" s="33"/>
      <c r="EM339" s="33"/>
      <c r="EN339" s="33"/>
      <c r="EO339" s="33"/>
      <c r="EP339" s="33"/>
      <c r="EQ339" s="33"/>
      <c r="ER339" s="33"/>
      <c r="ES339" s="33"/>
      <c r="ET339" s="33"/>
      <c r="EU339" s="33"/>
      <c r="EV339" s="33"/>
      <c r="EW339" s="33"/>
      <c r="EX339" s="33"/>
      <c r="EY339" s="33"/>
    </row>
    <row r="340" spans="44:155" x14ac:dyDescent="0.3">
      <c r="AR340" s="1"/>
      <c r="AS340" s="1"/>
      <c r="AT340" s="1"/>
      <c r="AU340" s="1"/>
      <c r="AV340" s="1"/>
      <c r="AW340" s="1"/>
      <c r="DS340" s="33"/>
      <c r="DT340" s="33"/>
      <c r="DU340" s="33"/>
      <c r="DV340" s="33"/>
      <c r="DW340" s="33"/>
      <c r="DX340" s="33"/>
      <c r="DY340" s="33"/>
      <c r="DZ340" s="33"/>
      <c r="EA340" s="33"/>
      <c r="EB340" s="33"/>
      <c r="EC340" s="33"/>
      <c r="ED340" s="33"/>
      <c r="EE340" s="33"/>
      <c r="EF340" s="33"/>
      <c r="EG340" s="33"/>
      <c r="EH340" s="33"/>
      <c r="EI340" s="33"/>
      <c r="EJ340" s="33"/>
      <c r="EK340" s="33"/>
      <c r="EL340" s="33"/>
      <c r="EM340" s="33"/>
      <c r="EN340" s="33"/>
      <c r="EO340" s="33"/>
      <c r="EP340" s="33"/>
      <c r="EQ340" s="33"/>
      <c r="ER340" s="33"/>
      <c r="ES340" s="33"/>
      <c r="ET340" s="33"/>
      <c r="EU340" s="33"/>
      <c r="EV340" s="33"/>
      <c r="EW340" s="33"/>
      <c r="EX340" s="33"/>
      <c r="EY340" s="33"/>
    </row>
    <row r="341" spans="44:155" x14ac:dyDescent="0.3">
      <c r="AR341" s="1"/>
      <c r="AS341" s="1"/>
      <c r="AT341" s="1"/>
      <c r="AU341" s="1"/>
      <c r="AV341" s="1"/>
      <c r="AW341" s="1"/>
      <c r="DS341" s="33"/>
      <c r="DT341" s="33"/>
      <c r="DU341" s="33"/>
      <c r="DV341" s="33"/>
      <c r="DW341" s="33"/>
      <c r="DX341" s="33"/>
      <c r="DY341" s="33"/>
      <c r="DZ341" s="33"/>
      <c r="EA341" s="33"/>
      <c r="EB341" s="33"/>
      <c r="EC341" s="33"/>
      <c r="ED341" s="33"/>
      <c r="EE341" s="33"/>
      <c r="EF341" s="33"/>
      <c r="EG341" s="33"/>
      <c r="EH341" s="33"/>
      <c r="EI341" s="33"/>
      <c r="EJ341" s="33"/>
      <c r="EK341" s="33"/>
      <c r="EL341" s="33"/>
      <c r="EM341" s="33"/>
      <c r="EN341" s="33"/>
      <c r="EO341" s="33"/>
      <c r="EP341" s="33"/>
      <c r="EQ341" s="33"/>
      <c r="ER341" s="33"/>
      <c r="ES341" s="33"/>
      <c r="ET341" s="33"/>
      <c r="EU341" s="33"/>
      <c r="EV341" s="33"/>
      <c r="EW341" s="33"/>
      <c r="EX341" s="33"/>
      <c r="EY341" s="33"/>
    </row>
    <row r="342" spans="44:155" x14ac:dyDescent="0.3">
      <c r="AR342" s="1"/>
      <c r="AS342" s="1"/>
      <c r="AT342" s="1"/>
      <c r="AU342" s="1"/>
      <c r="AV342" s="1"/>
      <c r="AW342" s="1"/>
      <c r="DS342" s="33"/>
      <c r="DT342" s="33"/>
      <c r="DU342" s="33"/>
      <c r="DV342" s="33"/>
      <c r="DW342" s="33"/>
      <c r="DX342" s="33"/>
      <c r="DY342" s="33"/>
      <c r="DZ342" s="33"/>
      <c r="EA342" s="33"/>
      <c r="EB342" s="33"/>
      <c r="EC342" s="33"/>
      <c r="ED342" s="33"/>
      <c r="EE342" s="33"/>
      <c r="EF342" s="33"/>
      <c r="EG342" s="33"/>
      <c r="EH342" s="33"/>
      <c r="EI342" s="33"/>
      <c r="EJ342" s="33"/>
      <c r="EK342" s="33"/>
      <c r="EL342" s="33"/>
      <c r="EM342" s="33"/>
      <c r="EN342" s="33"/>
      <c r="EO342" s="33"/>
      <c r="EP342" s="33"/>
      <c r="EQ342" s="33"/>
      <c r="ER342" s="33"/>
      <c r="ES342" s="33"/>
      <c r="ET342" s="33"/>
      <c r="EU342" s="33"/>
      <c r="EV342" s="33"/>
      <c r="EW342" s="33"/>
      <c r="EX342" s="33"/>
      <c r="EY342" s="33"/>
    </row>
    <row r="343" spans="44:155" x14ac:dyDescent="0.3">
      <c r="AR343" s="1"/>
      <c r="AS343" s="1"/>
      <c r="AT343" s="1"/>
      <c r="AU343" s="1"/>
      <c r="AV343" s="1"/>
      <c r="AW343" s="1"/>
      <c r="DS343" s="33"/>
      <c r="DT343" s="33"/>
      <c r="DU343" s="33"/>
      <c r="DV343" s="33"/>
      <c r="DW343" s="33"/>
      <c r="DX343" s="33"/>
      <c r="DY343" s="33"/>
      <c r="DZ343" s="33"/>
      <c r="EA343" s="33"/>
      <c r="EB343" s="33"/>
      <c r="EC343" s="33"/>
      <c r="ED343" s="33"/>
      <c r="EE343" s="33"/>
      <c r="EF343" s="33"/>
      <c r="EG343" s="33"/>
      <c r="EH343" s="33"/>
      <c r="EI343" s="33"/>
      <c r="EJ343" s="33"/>
      <c r="EK343" s="33"/>
      <c r="EL343" s="33"/>
      <c r="EM343" s="33"/>
      <c r="EN343" s="33"/>
      <c r="EO343" s="33"/>
      <c r="EP343" s="33"/>
      <c r="EQ343" s="33"/>
      <c r="ER343" s="33"/>
      <c r="ES343" s="33"/>
      <c r="ET343" s="33"/>
      <c r="EU343" s="33"/>
      <c r="EV343" s="33"/>
      <c r="EW343" s="33"/>
      <c r="EX343" s="33"/>
      <c r="EY343" s="33"/>
    </row>
    <row r="344" spans="44:155" x14ac:dyDescent="0.3">
      <c r="AR344" s="1"/>
      <c r="AS344" s="1"/>
      <c r="AT344" s="1"/>
      <c r="AU344" s="1"/>
      <c r="AV344" s="1"/>
      <c r="AW344" s="1"/>
      <c r="DS344" s="33"/>
      <c r="DT344" s="33"/>
      <c r="DU344" s="33"/>
      <c r="DV344" s="33"/>
      <c r="DW344" s="33"/>
      <c r="DX344" s="33"/>
      <c r="DY344" s="33"/>
      <c r="DZ344" s="33"/>
      <c r="EA344" s="33"/>
      <c r="EB344" s="33"/>
      <c r="EC344" s="33"/>
      <c r="ED344" s="33"/>
      <c r="EE344" s="33"/>
      <c r="EF344" s="33"/>
      <c r="EG344" s="33"/>
      <c r="EH344" s="33"/>
      <c r="EI344" s="33"/>
      <c r="EJ344" s="33"/>
      <c r="EK344" s="33"/>
      <c r="EL344" s="33"/>
      <c r="EM344" s="33"/>
      <c r="EN344" s="33"/>
      <c r="EO344" s="33"/>
      <c r="EP344" s="33"/>
      <c r="EQ344" s="33"/>
      <c r="ER344" s="33"/>
      <c r="ES344" s="33"/>
      <c r="ET344" s="33"/>
      <c r="EU344" s="33"/>
      <c r="EV344" s="33"/>
      <c r="EW344" s="33"/>
      <c r="EX344" s="33"/>
      <c r="EY344" s="33"/>
    </row>
    <row r="345" spans="44:155" x14ac:dyDescent="0.3">
      <c r="AR345" s="1"/>
      <c r="AS345" s="1"/>
      <c r="AT345" s="1"/>
      <c r="AU345" s="1"/>
      <c r="AV345" s="1"/>
      <c r="AW345" s="1"/>
      <c r="DS345" s="33"/>
      <c r="DT345" s="33"/>
      <c r="DU345" s="33"/>
      <c r="DV345" s="33"/>
      <c r="DW345" s="33"/>
      <c r="DX345" s="33"/>
      <c r="DY345" s="33"/>
      <c r="DZ345" s="33"/>
      <c r="EA345" s="33"/>
      <c r="EB345" s="33"/>
      <c r="EC345" s="33"/>
      <c r="ED345" s="33"/>
      <c r="EE345" s="33"/>
      <c r="EF345" s="33"/>
      <c r="EG345" s="33"/>
      <c r="EH345" s="33"/>
      <c r="EI345" s="33"/>
      <c r="EJ345" s="33"/>
      <c r="EK345" s="33"/>
      <c r="EL345" s="33"/>
      <c r="EM345" s="33"/>
      <c r="EN345" s="33"/>
      <c r="EO345" s="33"/>
      <c r="EP345" s="33"/>
      <c r="EQ345" s="33"/>
      <c r="ER345" s="33"/>
      <c r="ES345" s="33"/>
      <c r="ET345" s="33"/>
      <c r="EU345" s="33"/>
      <c r="EV345" s="33"/>
      <c r="EW345" s="33"/>
      <c r="EX345" s="33"/>
      <c r="EY345" s="33"/>
    </row>
    <row r="346" spans="44:155" x14ac:dyDescent="0.3">
      <c r="AR346" s="1"/>
      <c r="AS346" s="1"/>
      <c r="AT346" s="1"/>
      <c r="AU346" s="1"/>
      <c r="AV346" s="1"/>
      <c r="AW346" s="1"/>
      <c r="DS346" s="33"/>
      <c r="DT346" s="33"/>
      <c r="DU346" s="33"/>
      <c r="DV346" s="33"/>
      <c r="DW346" s="33"/>
      <c r="DX346" s="33"/>
      <c r="DY346" s="33"/>
      <c r="DZ346" s="33"/>
      <c r="EA346" s="33"/>
      <c r="EB346" s="33"/>
      <c r="EC346" s="33"/>
      <c r="ED346" s="33"/>
      <c r="EE346" s="33"/>
      <c r="EF346" s="33"/>
      <c r="EG346" s="33"/>
      <c r="EH346" s="33"/>
      <c r="EI346" s="33"/>
      <c r="EJ346" s="33"/>
      <c r="EK346" s="33"/>
      <c r="EL346" s="33"/>
      <c r="EM346" s="33"/>
      <c r="EN346" s="33"/>
      <c r="EO346" s="33"/>
      <c r="EP346" s="33"/>
      <c r="EQ346" s="33"/>
      <c r="ER346" s="33"/>
      <c r="ES346" s="33"/>
      <c r="ET346" s="33"/>
      <c r="EU346" s="33"/>
      <c r="EV346" s="33"/>
      <c r="EW346" s="33"/>
      <c r="EX346" s="33"/>
      <c r="EY346" s="33"/>
    </row>
    <row r="347" spans="44:155" x14ac:dyDescent="0.3">
      <c r="AR347" s="1"/>
      <c r="AS347" s="1"/>
      <c r="AT347" s="1"/>
      <c r="AU347" s="1"/>
      <c r="AV347" s="1"/>
      <c r="AW347" s="1"/>
      <c r="DS347" s="33"/>
      <c r="DT347" s="33"/>
      <c r="DU347" s="33"/>
      <c r="DV347" s="33"/>
      <c r="DW347" s="33"/>
      <c r="DX347" s="33"/>
      <c r="DY347" s="33"/>
      <c r="DZ347" s="33"/>
      <c r="EA347" s="33"/>
      <c r="EB347" s="33"/>
      <c r="EC347" s="33"/>
      <c r="ED347" s="33"/>
      <c r="EE347" s="33"/>
      <c r="EF347" s="33"/>
      <c r="EG347" s="33"/>
      <c r="EH347" s="33"/>
      <c r="EI347" s="33"/>
      <c r="EJ347" s="33"/>
      <c r="EK347" s="33"/>
      <c r="EL347" s="33"/>
      <c r="EM347" s="33"/>
      <c r="EN347" s="33"/>
      <c r="EO347" s="33"/>
      <c r="EP347" s="33"/>
      <c r="EQ347" s="33"/>
      <c r="ER347" s="33"/>
      <c r="ES347" s="33"/>
      <c r="ET347" s="33"/>
      <c r="EU347" s="33"/>
      <c r="EV347" s="33"/>
      <c r="EW347" s="33"/>
      <c r="EX347" s="33"/>
      <c r="EY347" s="33"/>
    </row>
    <row r="348" spans="44:155" x14ac:dyDescent="0.3">
      <c r="AR348" s="1"/>
      <c r="AS348" s="1"/>
      <c r="AT348" s="1"/>
      <c r="AU348" s="1"/>
      <c r="AV348" s="1"/>
      <c r="AW348" s="1"/>
      <c r="DS348" s="33"/>
      <c r="DT348" s="33"/>
      <c r="DU348" s="33"/>
      <c r="DV348" s="33"/>
      <c r="DW348" s="33"/>
      <c r="DX348" s="33"/>
      <c r="DY348" s="33"/>
      <c r="DZ348" s="33"/>
      <c r="EA348" s="33"/>
      <c r="EB348" s="33"/>
      <c r="EC348" s="33"/>
      <c r="ED348" s="33"/>
      <c r="EE348" s="33"/>
      <c r="EF348" s="33"/>
      <c r="EG348" s="33"/>
      <c r="EH348" s="33"/>
      <c r="EI348" s="33"/>
      <c r="EJ348" s="33"/>
      <c r="EK348" s="33"/>
      <c r="EL348" s="33"/>
      <c r="EM348" s="33"/>
      <c r="EN348" s="33"/>
      <c r="EO348" s="33"/>
      <c r="EP348" s="33"/>
      <c r="EQ348" s="33"/>
      <c r="ER348" s="33"/>
      <c r="ES348" s="33"/>
      <c r="ET348" s="33"/>
      <c r="EU348" s="33"/>
      <c r="EV348" s="33"/>
      <c r="EW348" s="33"/>
      <c r="EX348" s="33"/>
      <c r="EY348" s="33"/>
    </row>
    <row r="349" spans="44:155" x14ac:dyDescent="0.3">
      <c r="AR349" s="1"/>
      <c r="AS349" s="1"/>
      <c r="AT349" s="1"/>
      <c r="AU349" s="1"/>
      <c r="AV349" s="1"/>
      <c r="AW349" s="1"/>
      <c r="DS349" s="33"/>
      <c r="DT349" s="33"/>
      <c r="DU349" s="33"/>
      <c r="DV349" s="33"/>
      <c r="DW349" s="33"/>
      <c r="DX349" s="33"/>
      <c r="DY349" s="33"/>
      <c r="DZ349" s="33"/>
      <c r="EA349" s="33"/>
      <c r="EB349" s="33"/>
      <c r="EC349" s="33"/>
      <c r="ED349" s="33"/>
      <c r="EE349" s="33"/>
      <c r="EF349" s="33"/>
      <c r="EG349" s="33"/>
      <c r="EH349" s="33"/>
      <c r="EI349" s="33"/>
      <c r="EJ349" s="33"/>
      <c r="EK349" s="33"/>
      <c r="EL349" s="33"/>
      <c r="EM349" s="33"/>
      <c r="EN349" s="33"/>
      <c r="EO349" s="33"/>
      <c r="EP349" s="33"/>
      <c r="EQ349" s="33"/>
      <c r="ER349" s="33"/>
      <c r="ES349" s="33"/>
      <c r="ET349" s="33"/>
      <c r="EU349" s="33"/>
      <c r="EV349" s="33"/>
      <c r="EW349" s="33"/>
      <c r="EX349" s="33"/>
      <c r="EY349" s="33"/>
    </row>
    <row r="350" spans="44:155" x14ac:dyDescent="0.3">
      <c r="AR350" s="1"/>
      <c r="AS350" s="1"/>
      <c r="AT350" s="1"/>
      <c r="AU350" s="1"/>
      <c r="AV350" s="1"/>
      <c r="AW350" s="1"/>
      <c r="DS350" s="33"/>
      <c r="DT350" s="33"/>
      <c r="DU350" s="33"/>
      <c r="DV350" s="33"/>
      <c r="DW350" s="33"/>
      <c r="DX350" s="33"/>
      <c r="DY350" s="33"/>
      <c r="DZ350" s="33"/>
      <c r="EA350" s="33"/>
      <c r="EB350" s="33"/>
      <c r="EC350" s="33"/>
      <c r="ED350" s="33"/>
      <c r="EE350" s="33"/>
      <c r="EF350" s="33"/>
      <c r="EG350" s="33"/>
      <c r="EH350" s="33"/>
      <c r="EI350" s="33"/>
      <c r="EJ350" s="33"/>
      <c r="EK350" s="33"/>
      <c r="EL350" s="33"/>
      <c r="EM350" s="33"/>
      <c r="EN350" s="33"/>
      <c r="EO350" s="33"/>
      <c r="EP350" s="33"/>
      <c r="EQ350" s="33"/>
      <c r="ER350" s="33"/>
      <c r="ES350" s="33"/>
      <c r="ET350" s="33"/>
      <c r="EU350" s="33"/>
      <c r="EV350" s="33"/>
      <c r="EW350" s="33"/>
      <c r="EX350" s="33"/>
      <c r="EY350" s="33"/>
    </row>
    <row r="351" spans="44:155" x14ac:dyDescent="0.3">
      <c r="AR351" s="1"/>
      <c r="AS351" s="1"/>
      <c r="AT351" s="1"/>
      <c r="AU351" s="1"/>
      <c r="AV351" s="1"/>
      <c r="AW351" s="1"/>
      <c r="DS351" s="33"/>
      <c r="DT351" s="33"/>
      <c r="DU351" s="33"/>
      <c r="DV351" s="33"/>
      <c r="DW351" s="33"/>
      <c r="DX351" s="33"/>
      <c r="DY351" s="33"/>
      <c r="DZ351" s="33"/>
      <c r="EA351" s="33"/>
      <c r="EB351" s="33"/>
      <c r="EC351" s="33"/>
      <c r="ED351" s="33"/>
      <c r="EE351" s="33"/>
      <c r="EF351" s="33"/>
      <c r="EG351" s="33"/>
      <c r="EH351" s="33"/>
      <c r="EI351" s="33"/>
      <c r="EJ351" s="33"/>
      <c r="EK351" s="33"/>
      <c r="EL351" s="33"/>
      <c r="EM351" s="33"/>
      <c r="EN351" s="33"/>
      <c r="EO351" s="33"/>
      <c r="EP351" s="33"/>
      <c r="EQ351" s="33"/>
      <c r="ER351" s="33"/>
      <c r="ES351" s="33"/>
      <c r="ET351" s="33"/>
      <c r="EU351" s="33"/>
      <c r="EV351" s="33"/>
      <c r="EW351" s="33"/>
      <c r="EX351" s="33"/>
      <c r="EY351" s="33"/>
    </row>
    <row r="352" spans="44:155" x14ac:dyDescent="0.3">
      <c r="AR352" s="1"/>
      <c r="AS352" s="1"/>
      <c r="AT352" s="1"/>
      <c r="AU352" s="1"/>
      <c r="AV352" s="1"/>
      <c r="AW352" s="1"/>
      <c r="DS352" s="33"/>
      <c r="DT352" s="33"/>
      <c r="DU352" s="33"/>
      <c r="DV352" s="33"/>
      <c r="DW352" s="33"/>
      <c r="DX352" s="33"/>
      <c r="DY352" s="33"/>
      <c r="DZ352" s="33"/>
      <c r="EA352" s="33"/>
      <c r="EB352" s="33"/>
      <c r="EC352" s="33"/>
      <c r="ED352" s="33"/>
      <c r="EE352" s="33"/>
      <c r="EF352" s="33"/>
      <c r="EG352" s="33"/>
      <c r="EH352" s="33"/>
      <c r="EI352" s="33"/>
      <c r="EJ352" s="33"/>
      <c r="EK352" s="33"/>
      <c r="EL352" s="33"/>
      <c r="EM352" s="33"/>
      <c r="EN352" s="33"/>
      <c r="EO352" s="33"/>
      <c r="EP352" s="33"/>
      <c r="EQ352" s="33"/>
      <c r="ER352" s="33"/>
      <c r="ES352" s="33"/>
      <c r="ET352" s="33"/>
      <c r="EU352" s="33"/>
      <c r="EV352" s="33"/>
      <c r="EW352" s="33"/>
      <c r="EX352" s="33"/>
      <c r="EY352" s="33"/>
    </row>
    <row r="353" spans="44:155" x14ac:dyDescent="0.3">
      <c r="AR353" s="1"/>
      <c r="AS353" s="1"/>
      <c r="AT353" s="1"/>
      <c r="AU353" s="1"/>
      <c r="AV353" s="1"/>
      <c r="AW353" s="1"/>
      <c r="DS353" s="33"/>
      <c r="DT353" s="33"/>
      <c r="DU353" s="33"/>
      <c r="DV353" s="33"/>
      <c r="DW353" s="33"/>
      <c r="DX353" s="33"/>
      <c r="DY353" s="33"/>
      <c r="DZ353" s="33"/>
      <c r="EA353" s="33"/>
      <c r="EB353" s="33"/>
      <c r="EC353" s="33"/>
      <c r="ED353" s="33"/>
      <c r="EE353" s="33"/>
      <c r="EF353" s="33"/>
      <c r="EG353" s="33"/>
      <c r="EH353" s="33"/>
      <c r="EI353" s="33"/>
      <c r="EJ353" s="33"/>
      <c r="EK353" s="33"/>
      <c r="EL353" s="33"/>
      <c r="EM353" s="33"/>
      <c r="EN353" s="33"/>
      <c r="EO353" s="33"/>
      <c r="EP353" s="33"/>
      <c r="EQ353" s="33"/>
      <c r="ER353" s="33"/>
      <c r="ES353" s="33"/>
      <c r="ET353" s="33"/>
      <c r="EU353" s="33"/>
      <c r="EV353" s="33"/>
      <c r="EW353" s="33"/>
      <c r="EX353" s="33"/>
      <c r="EY353" s="33"/>
    </row>
    <row r="354" spans="44:155" x14ac:dyDescent="0.3">
      <c r="AR354" s="1"/>
      <c r="AS354" s="1"/>
      <c r="AT354" s="1"/>
      <c r="AU354" s="1"/>
      <c r="AV354" s="1"/>
      <c r="AW354" s="1"/>
      <c r="DS354" s="33"/>
      <c r="DT354" s="33"/>
      <c r="DU354" s="33"/>
      <c r="DV354" s="33"/>
      <c r="DW354" s="33"/>
      <c r="DX354" s="33"/>
      <c r="DY354" s="33"/>
      <c r="DZ354" s="33"/>
      <c r="EA354" s="33"/>
      <c r="EB354" s="33"/>
      <c r="EC354" s="33"/>
      <c r="ED354" s="33"/>
      <c r="EE354" s="33"/>
      <c r="EF354" s="33"/>
      <c r="EG354" s="33"/>
      <c r="EH354" s="33"/>
      <c r="EI354" s="33"/>
      <c r="EJ354" s="33"/>
      <c r="EK354" s="33"/>
      <c r="EL354" s="33"/>
      <c r="EM354" s="33"/>
      <c r="EN354" s="33"/>
      <c r="EO354" s="33"/>
      <c r="EP354" s="33"/>
      <c r="EQ354" s="33"/>
      <c r="ER354" s="33"/>
      <c r="ES354" s="33"/>
      <c r="ET354" s="33"/>
      <c r="EU354" s="33"/>
      <c r="EV354" s="33"/>
      <c r="EW354" s="33"/>
      <c r="EX354" s="33"/>
      <c r="EY354" s="33"/>
    </row>
    <row r="355" spans="44:155" x14ac:dyDescent="0.3">
      <c r="AR355" s="1"/>
      <c r="AS355" s="1"/>
      <c r="AT355" s="1"/>
      <c r="AU355" s="1"/>
      <c r="AV355" s="1"/>
      <c r="AW355" s="1"/>
      <c r="DS355" s="33"/>
      <c r="DT355" s="33"/>
      <c r="DU355" s="33"/>
      <c r="DV355" s="33"/>
      <c r="DW355" s="33"/>
      <c r="DX355" s="33"/>
      <c r="DY355" s="33"/>
      <c r="DZ355" s="33"/>
      <c r="EA355" s="33"/>
      <c r="EB355" s="33"/>
      <c r="EC355" s="33"/>
      <c r="ED355" s="33"/>
      <c r="EE355" s="33"/>
      <c r="EF355" s="33"/>
      <c r="EG355" s="33"/>
      <c r="EH355" s="33"/>
      <c r="EI355" s="33"/>
      <c r="EJ355" s="33"/>
      <c r="EK355" s="33"/>
      <c r="EL355" s="33"/>
      <c r="EM355" s="33"/>
      <c r="EN355" s="33"/>
      <c r="EO355" s="33"/>
      <c r="EP355" s="33"/>
      <c r="EQ355" s="33"/>
      <c r="ER355" s="33"/>
      <c r="ES355" s="33"/>
      <c r="ET355" s="33"/>
      <c r="EU355" s="33"/>
      <c r="EV355" s="33"/>
      <c r="EW355" s="33"/>
      <c r="EX355" s="33"/>
      <c r="EY355" s="33"/>
    </row>
    <row r="356" spans="44:155" x14ac:dyDescent="0.3">
      <c r="AR356" s="1"/>
      <c r="AS356" s="1"/>
      <c r="AT356" s="1"/>
      <c r="AU356" s="1"/>
      <c r="AV356" s="1"/>
      <c r="AW356" s="1"/>
      <c r="DS356" s="33"/>
      <c r="DT356" s="33"/>
      <c r="DU356" s="33"/>
      <c r="DV356" s="33"/>
      <c r="DW356" s="33"/>
      <c r="DX356" s="33"/>
      <c r="DY356" s="33"/>
      <c r="DZ356" s="33"/>
      <c r="EA356" s="33"/>
      <c r="EB356" s="33"/>
      <c r="EC356" s="33"/>
      <c r="ED356" s="33"/>
      <c r="EE356" s="33"/>
      <c r="EF356" s="33"/>
      <c r="EG356" s="33"/>
      <c r="EH356" s="33"/>
      <c r="EI356" s="33"/>
      <c r="EJ356" s="33"/>
      <c r="EK356" s="33"/>
      <c r="EL356" s="33"/>
      <c r="EM356" s="33"/>
      <c r="EN356" s="33"/>
      <c r="EO356" s="33"/>
      <c r="EP356" s="33"/>
      <c r="EQ356" s="33"/>
      <c r="ER356" s="33"/>
      <c r="ES356" s="33"/>
      <c r="ET356" s="33"/>
      <c r="EU356" s="33"/>
      <c r="EV356" s="33"/>
      <c r="EW356" s="33"/>
      <c r="EX356" s="33"/>
      <c r="EY356" s="33"/>
    </row>
    <row r="357" spans="44:155" x14ac:dyDescent="0.3">
      <c r="AR357" s="1"/>
      <c r="AS357" s="1"/>
      <c r="AT357" s="1"/>
      <c r="AU357" s="1"/>
      <c r="AV357" s="1"/>
      <c r="AW357" s="1"/>
      <c r="DS357" s="33"/>
      <c r="DT357" s="33"/>
      <c r="DU357" s="33"/>
      <c r="DV357" s="33"/>
      <c r="DW357" s="33"/>
      <c r="DX357" s="33"/>
      <c r="DY357" s="33"/>
      <c r="DZ357" s="33"/>
      <c r="EA357" s="33"/>
      <c r="EB357" s="33"/>
      <c r="EC357" s="33"/>
      <c r="ED357" s="33"/>
      <c r="EE357" s="33"/>
      <c r="EF357" s="33"/>
      <c r="EG357" s="33"/>
      <c r="EH357" s="33"/>
      <c r="EI357" s="33"/>
      <c r="EJ357" s="33"/>
      <c r="EK357" s="33"/>
      <c r="EL357" s="33"/>
      <c r="EM357" s="33"/>
      <c r="EN357" s="33"/>
      <c r="EO357" s="33"/>
      <c r="EP357" s="33"/>
      <c r="EQ357" s="33"/>
      <c r="ER357" s="33"/>
      <c r="ES357" s="33"/>
      <c r="ET357" s="33"/>
      <c r="EU357" s="33"/>
      <c r="EV357" s="33"/>
      <c r="EW357" s="33"/>
      <c r="EX357" s="33"/>
      <c r="EY357" s="33"/>
    </row>
    <row r="358" spans="44:155" x14ac:dyDescent="0.3">
      <c r="AR358" s="1"/>
      <c r="AS358" s="1"/>
      <c r="AT358" s="1"/>
      <c r="AU358" s="1"/>
      <c r="AV358" s="1"/>
      <c r="AW358" s="1"/>
      <c r="DS358" s="33"/>
      <c r="DT358" s="33"/>
      <c r="DU358" s="33"/>
      <c r="DV358" s="33"/>
      <c r="DW358" s="33"/>
      <c r="DX358" s="33"/>
      <c r="DY358" s="33"/>
      <c r="DZ358" s="33"/>
      <c r="EA358" s="33"/>
      <c r="EB358" s="33"/>
      <c r="EC358" s="33"/>
      <c r="ED358" s="33"/>
      <c r="EE358" s="33"/>
      <c r="EF358" s="33"/>
      <c r="EG358" s="33"/>
      <c r="EH358" s="33"/>
      <c r="EI358" s="33"/>
      <c r="EJ358" s="33"/>
      <c r="EK358" s="33"/>
      <c r="EL358" s="33"/>
      <c r="EM358" s="33"/>
      <c r="EN358" s="33"/>
      <c r="EO358" s="33"/>
      <c r="EP358" s="33"/>
      <c r="EQ358" s="33"/>
      <c r="ER358" s="33"/>
      <c r="ES358" s="33"/>
      <c r="ET358" s="33"/>
      <c r="EU358" s="33"/>
      <c r="EV358" s="33"/>
      <c r="EW358" s="33"/>
      <c r="EX358" s="33"/>
      <c r="EY358" s="33"/>
    </row>
    <row r="359" spans="44:155" x14ac:dyDescent="0.3">
      <c r="AR359" s="1"/>
      <c r="AS359" s="1"/>
      <c r="AT359" s="1"/>
      <c r="AU359" s="1"/>
      <c r="AV359" s="1"/>
      <c r="AW359" s="1"/>
      <c r="DS359" s="33"/>
      <c r="DT359" s="33"/>
      <c r="DU359" s="33"/>
      <c r="DV359" s="33"/>
      <c r="DW359" s="33"/>
      <c r="DX359" s="33"/>
      <c r="DY359" s="33"/>
      <c r="DZ359" s="33"/>
      <c r="EA359" s="33"/>
      <c r="EB359" s="33"/>
      <c r="EC359" s="33"/>
      <c r="ED359" s="33"/>
      <c r="EE359" s="33"/>
      <c r="EF359" s="33"/>
      <c r="EG359" s="33"/>
      <c r="EH359" s="33"/>
      <c r="EI359" s="33"/>
      <c r="EJ359" s="33"/>
      <c r="EK359" s="33"/>
      <c r="EL359" s="33"/>
      <c r="EM359" s="33"/>
      <c r="EN359" s="33"/>
      <c r="EO359" s="33"/>
      <c r="EP359" s="33"/>
      <c r="EQ359" s="33"/>
      <c r="ER359" s="33"/>
      <c r="ES359" s="33"/>
      <c r="ET359" s="33"/>
      <c r="EU359" s="33"/>
      <c r="EV359" s="33"/>
      <c r="EW359" s="33"/>
      <c r="EX359" s="33"/>
      <c r="EY359" s="33"/>
    </row>
    <row r="360" spans="44:155" x14ac:dyDescent="0.3">
      <c r="AR360" s="1"/>
      <c r="AS360" s="1"/>
      <c r="AT360" s="1"/>
      <c r="AU360" s="1"/>
      <c r="AV360" s="1"/>
      <c r="AW360" s="1"/>
      <c r="DS360" s="33"/>
      <c r="DT360" s="33"/>
      <c r="DU360" s="33"/>
      <c r="DV360" s="33"/>
      <c r="DW360" s="33"/>
      <c r="DX360" s="33"/>
      <c r="DY360" s="33"/>
      <c r="DZ360" s="33"/>
      <c r="EA360" s="33"/>
      <c r="EB360" s="33"/>
      <c r="EC360" s="33"/>
      <c r="ED360" s="33"/>
      <c r="EE360" s="33"/>
      <c r="EF360" s="33"/>
      <c r="EG360" s="33"/>
      <c r="EH360" s="33"/>
      <c r="EI360" s="33"/>
      <c r="EJ360" s="33"/>
      <c r="EK360" s="33"/>
      <c r="EL360" s="33"/>
      <c r="EM360" s="33"/>
      <c r="EN360" s="33"/>
      <c r="EO360" s="33"/>
      <c r="EP360" s="33"/>
      <c r="EQ360" s="33"/>
      <c r="ER360" s="33"/>
      <c r="ES360" s="33"/>
      <c r="ET360" s="33"/>
      <c r="EU360" s="33"/>
      <c r="EV360" s="33"/>
      <c r="EW360" s="33"/>
      <c r="EX360" s="33"/>
      <c r="EY360" s="33"/>
    </row>
    <row r="361" spans="44:155" x14ac:dyDescent="0.3">
      <c r="AR361" s="1"/>
      <c r="AS361" s="1"/>
      <c r="AT361" s="1"/>
      <c r="AU361" s="1"/>
      <c r="AV361" s="1"/>
      <c r="AW361" s="1"/>
      <c r="DS361" s="33"/>
      <c r="DT361" s="33"/>
      <c r="DU361" s="33"/>
      <c r="DV361" s="33"/>
      <c r="DW361" s="33"/>
      <c r="DX361" s="33"/>
      <c r="DY361" s="33"/>
      <c r="DZ361" s="33"/>
      <c r="EA361" s="33"/>
      <c r="EB361" s="33"/>
      <c r="EC361" s="33"/>
      <c r="ED361" s="33"/>
      <c r="EE361" s="33"/>
      <c r="EF361" s="33"/>
      <c r="EG361" s="33"/>
      <c r="EH361" s="33"/>
      <c r="EI361" s="33"/>
      <c r="EJ361" s="33"/>
      <c r="EK361" s="33"/>
      <c r="EL361" s="33"/>
      <c r="EM361" s="33"/>
      <c r="EN361" s="33"/>
      <c r="EO361" s="33"/>
      <c r="EP361" s="33"/>
      <c r="EQ361" s="33"/>
      <c r="ER361" s="33"/>
      <c r="ES361" s="33"/>
      <c r="ET361" s="33"/>
      <c r="EU361" s="33"/>
      <c r="EV361" s="33"/>
      <c r="EW361" s="33"/>
      <c r="EX361" s="33"/>
      <c r="EY361" s="33"/>
    </row>
    <row r="362" spans="44:155" x14ac:dyDescent="0.3">
      <c r="AR362" s="1"/>
      <c r="AS362" s="1"/>
      <c r="AT362" s="1"/>
      <c r="AU362" s="1"/>
      <c r="AV362" s="1"/>
      <c r="AW362" s="1"/>
      <c r="DS362" s="33"/>
      <c r="DT362" s="33"/>
      <c r="DU362" s="33"/>
      <c r="DV362" s="33"/>
      <c r="DW362" s="33"/>
      <c r="DX362" s="33"/>
      <c r="DY362" s="33"/>
      <c r="DZ362" s="33"/>
      <c r="EA362" s="33"/>
      <c r="EB362" s="33"/>
      <c r="EC362" s="33"/>
      <c r="ED362" s="33"/>
      <c r="EE362" s="33"/>
      <c r="EF362" s="33"/>
      <c r="EG362" s="33"/>
      <c r="EH362" s="33"/>
      <c r="EI362" s="33"/>
      <c r="EJ362" s="33"/>
      <c r="EK362" s="33"/>
      <c r="EL362" s="33"/>
      <c r="EM362" s="33"/>
      <c r="EN362" s="33"/>
      <c r="EO362" s="33"/>
      <c r="EP362" s="33"/>
      <c r="EQ362" s="33"/>
      <c r="ER362" s="33"/>
      <c r="ES362" s="33"/>
      <c r="ET362" s="33"/>
      <c r="EU362" s="33"/>
      <c r="EV362" s="33"/>
      <c r="EW362" s="33"/>
      <c r="EX362" s="33"/>
      <c r="EY362" s="33"/>
    </row>
    <row r="363" spans="44:155" x14ac:dyDescent="0.3">
      <c r="AR363" s="1"/>
      <c r="AS363" s="1"/>
      <c r="AT363" s="1"/>
      <c r="AU363" s="1"/>
      <c r="AV363" s="1"/>
      <c r="AW363" s="1"/>
      <c r="DS363" s="33"/>
      <c r="DT363" s="33"/>
      <c r="DU363" s="33"/>
      <c r="DV363" s="33"/>
      <c r="DW363" s="33"/>
      <c r="DX363" s="33"/>
      <c r="DY363" s="33"/>
      <c r="DZ363" s="33"/>
      <c r="EA363" s="33"/>
      <c r="EB363" s="33"/>
      <c r="EC363" s="33"/>
      <c r="ED363" s="33"/>
      <c r="EE363" s="33"/>
      <c r="EF363" s="33"/>
      <c r="EG363" s="33"/>
      <c r="EH363" s="33"/>
      <c r="EI363" s="33"/>
      <c r="EJ363" s="33"/>
      <c r="EK363" s="33"/>
      <c r="EL363" s="33"/>
      <c r="EM363" s="33"/>
      <c r="EN363" s="33"/>
      <c r="EO363" s="33"/>
      <c r="EP363" s="33"/>
      <c r="EQ363" s="33"/>
      <c r="ER363" s="33"/>
      <c r="ES363" s="33"/>
      <c r="ET363" s="33"/>
      <c r="EU363" s="33"/>
      <c r="EV363" s="33"/>
      <c r="EW363" s="33"/>
      <c r="EX363" s="33"/>
      <c r="EY363" s="33"/>
    </row>
    <row r="364" spans="44:155" x14ac:dyDescent="0.3">
      <c r="AR364" s="1"/>
      <c r="AS364" s="1"/>
      <c r="AT364" s="1"/>
      <c r="AU364" s="1"/>
      <c r="AV364" s="1"/>
      <c r="AW364" s="1"/>
      <c r="DS364" s="33"/>
      <c r="DT364" s="33"/>
      <c r="DU364" s="33"/>
      <c r="DV364" s="33"/>
      <c r="DW364" s="33"/>
      <c r="DX364" s="33"/>
      <c r="DY364" s="33"/>
      <c r="DZ364" s="33"/>
      <c r="EA364" s="33"/>
      <c r="EB364" s="33"/>
      <c r="EC364" s="33"/>
      <c r="ED364" s="33"/>
      <c r="EE364" s="33"/>
      <c r="EF364" s="33"/>
      <c r="EG364" s="33"/>
      <c r="EH364" s="33"/>
      <c r="EI364" s="33"/>
      <c r="EJ364" s="33"/>
      <c r="EK364" s="33"/>
      <c r="EL364" s="33"/>
      <c r="EM364" s="33"/>
      <c r="EN364" s="33"/>
      <c r="EO364" s="33"/>
      <c r="EP364" s="33"/>
      <c r="EQ364" s="33"/>
      <c r="ER364" s="33"/>
      <c r="ES364" s="33"/>
      <c r="ET364" s="33"/>
      <c r="EU364" s="33"/>
      <c r="EV364" s="33"/>
      <c r="EW364" s="33"/>
      <c r="EX364" s="33"/>
      <c r="EY364" s="33"/>
    </row>
    <row r="365" spans="44:155" x14ac:dyDescent="0.3">
      <c r="AR365" s="1"/>
      <c r="AS365" s="1"/>
      <c r="AT365" s="1"/>
      <c r="AU365" s="1"/>
      <c r="AV365" s="1"/>
      <c r="AW365" s="1"/>
      <c r="DS365" s="33"/>
      <c r="DT365" s="33"/>
      <c r="DU365" s="33"/>
      <c r="DV365" s="33"/>
      <c r="DW365" s="33"/>
      <c r="DX365" s="33"/>
      <c r="DY365" s="33"/>
      <c r="DZ365" s="33"/>
      <c r="EA365" s="33"/>
      <c r="EB365" s="33"/>
      <c r="EC365" s="33"/>
      <c r="ED365" s="33"/>
      <c r="EE365" s="33"/>
      <c r="EF365" s="33"/>
      <c r="EG365" s="33"/>
      <c r="EH365" s="33"/>
      <c r="EI365" s="33"/>
      <c r="EJ365" s="33"/>
      <c r="EK365" s="33"/>
      <c r="EL365" s="33"/>
      <c r="EM365" s="33"/>
      <c r="EN365" s="33"/>
      <c r="EO365" s="33"/>
      <c r="EP365" s="33"/>
      <c r="EQ365" s="33"/>
      <c r="ER365" s="33"/>
      <c r="ES365" s="33"/>
      <c r="ET365" s="33"/>
      <c r="EU365" s="33"/>
      <c r="EV365" s="33"/>
      <c r="EW365" s="33"/>
      <c r="EX365" s="33"/>
      <c r="EY365" s="33"/>
    </row>
    <row r="366" spans="44:155" x14ac:dyDescent="0.3">
      <c r="AR366" s="1"/>
      <c r="AS366" s="1"/>
      <c r="AT366" s="1"/>
      <c r="AU366" s="1"/>
      <c r="AV366" s="1"/>
      <c r="AW366" s="1"/>
      <c r="DS366" s="33"/>
      <c r="DT366" s="33"/>
      <c r="DU366" s="33"/>
      <c r="DV366" s="33"/>
      <c r="DW366" s="33"/>
      <c r="DX366" s="33"/>
      <c r="DY366" s="33"/>
      <c r="DZ366" s="33"/>
      <c r="EA366" s="33"/>
      <c r="EB366" s="33"/>
      <c r="EC366" s="33"/>
      <c r="ED366" s="33"/>
      <c r="EE366" s="33"/>
      <c r="EF366" s="33"/>
      <c r="EG366" s="33"/>
      <c r="EH366" s="33"/>
      <c r="EI366" s="33"/>
      <c r="EJ366" s="33"/>
      <c r="EK366" s="33"/>
      <c r="EL366" s="33"/>
      <c r="EM366" s="33"/>
      <c r="EN366" s="33"/>
      <c r="EO366" s="33"/>
      <c r="EP366" s="33"/>
      <c r="EQ366" s="33"/>
      <c r="ER366" s="33"/>
      <c r="ES366" s="33"/>
      <c r="ET366" s="33"/>
      <c r="EU366" s="33"/>
      <c r="EV366" s="33"/>
      <c r="EW366" s="33"/>
      <c r="EX366" s="33"/>
      <c r="EY366" s="33"/>
    </row>
    <row r="367" spans="44:155" x14ac:dyDescent="0.3">
      <c r="AR367" s="1"/>
      <c r="AS367" s="1"/>
      <c r="AT367" s="1"/>
      <c r="AU367" s="1"/>
      <c r="AV367" s="1"/>
      <c r="AW367" s="1"/>
      <c r="DS367" s="33"/>
      <c r="DT367" s="33"/>
      <c r="DU367" s="33"/>
      <c r="DV367" s="33"/>
      <c r="DW367" s="33"/>
      <c r="DX367" s="33"/>
      <c r="DY367" s="33"/>
      <c r="DZ367" s="33"/>
      <c r="EA367" s="33"/>
      <c r="EB367" s="33"/>
      <c r="EC367" s="33"/>
      <c r="ED367" s="33"/>
      <c r="EE367" s="33"/>
      <c r="EF367" s="33"/>
      <c r="EG367" s="33"/>
      <c r="EH367" s="33"/>
      <c r="EI367" s="33"/>
      <c r="EJ367" s="33"/>
      <c r="EK367" s="33"/>
      <c r="EL367" s="33"/>
      <c r="EM367" s="33"/>
      <c r="EN367" s="33"/>
      <c r="EO367" s="33"/>
      <c r="EP367" s="33"/>
      <c r="EQ367" s="33"/>
      <c r="ER367" s="33"/>
      <c r="ES367" s="33"/>
      <c r="ET367" s="33"/>
      <c r="EU367" s="33"/>
      <c r="EV367" s="33"/>
      <c r="EW367" s="33"/>
      <c r="EX367" s="33"/>
      <c r="EY367" s="33"/>
    </row>
    <row r="368" spans="44:155" x14ac:dyDescent="0.3">
      <c r="AR368" s="1"/>
      <c r="AS368" s="1"/>
      <c r="AT368" s="1"/>
      <c r="AU368" s="1"/>
      <c r="AV368" s="1"/>
      <c r="AW368" s="1"/>
      <c r="DS368" s="33"/>
      <c r="DT368" s="33"/>
      <c r="DU368" s="33"/>
      <c r="DV368" s="33"/>
      <c r="DW368" s="33"/>
      <c r="DX368" s="33"/>
      <c r="DY368" s="33"/>
      <c r="DZ368" s="33"/>
      <c r="EA368" s="33"/>
      <c r="EB368" s="33"/>
      <c r="EC368" s="33"/>
      <c r="ED368" s="33"/>
      <c r="EE368" s="33"/>
      <c r="EF368" s="33"/>
      <c r="EG368" s="33"/>
      <c r="EH368" s="33"/>
      <c r="EI368" s="33"/>
      <c r="EJ368" s="33"/>
      <c r="EK368" s="33"/>
      <c r="EL368" s="33"/>
      <c r="EM368" s="33"/>
      <c r="EN368" s="33"/>
      <c r="EO368" s="33"/>
      <c r="EP368" s="33"/>
      <c r="EQ368" s="33"/>
      <c r="ER368" s="33"/>
      <c r="ES368" s="33"/>
      <c r="ET368" s="33"/>
      <c r="EU368" s="33"/>
      <c r="EV368" s="33"/>
      <c r="EW368" s="33"/>
      <c r="EX368" s="33"/>
      <c r="EY368" s="33"/>
    </row>
    <row r="369" spans="44:155" x14ac:dyDescent="0.3">
      <c r="AR369" s="1"/>
      <c r="AS369" s="1"/>
      <c r="AT369" s="1"/>
      <c r="AU369" s="1"/>
      <c r="AV369" s="1"/>
      <c r="AW369" s="1"/>
      <c r="DS369" s="33"/>
      <c r="DT369" s="33"/>
      <c r="DU369" s="33"/>
      <c r="DV369" s="33"/>
      <c r="DW369" s="33"/>
      <c r="DX369" s="33"/>
      <c r="DY369" s="33"/>
      <c r="DZ369" s="33"/>
      <c r="EA369" s="33"/>
      <c r="EB369" s="33"/>
      <c r="EC369" s="33"/>
      <c r="ED369" s="33"/>
      <c r="EE369" s="33"/>
      <c r="EF369" s="33"/>
      <c r="EG369" s="33"/>
      <c r="EH369" s="33"/>
      <c r="EI369" s="33"/>
      <c r="EJ369" s="33"/>
      <c r="EK369" s="33"/>
      <c r="EL369" s="33"/>
      <c r="EM369" s="33"/>
      <c r="EN369" s="33"/>
      <c r="EO369" s="33"/>
      <c r="EP369" s="33"/>
      <c r="EQ369" s="33"/>
      <c r="ER369" s="33"/>
      <c r="ES369" s="33"/>
      <c r="ET369" s="33"/>
      <c r="EU369" s="33"/>
      <c r="EV369" s="33"/>
      <c r="EW369" s="33"/>
      <c r="EX369" s="33"/>
      <c r="EY369" s="33"/>
    </row>
    <row r="370" spans="44:155" x14ac:dyDescent="0.3">
      <c r="AR370" s="1"/>
      <c r="AS370" s="1"/>
      <c r="AT370" s="1"/>
      <c r="AU370" s="1"/>
      <c r="AV370" s="1"/>
      <c r="AW370" s="1"/>
      <c r="DS370" s="33"/>
      <c r="DT370" s="33"/>
      <c r="DU370" s="33"/>
      <c r="DV370" s="33"/>
      <c r="DW370" s="33"/>
      <c r="DX370" s="33"/>
      <c r="DY370" s="33"/>
      <c r="DZ370" s="33"/>
      <c r="EA370" s="33"/>
      <c r="EB370" s="33"/>
      <c r="EC370" s="33"/>
      <c r="ED370" s="33"/>
      <c r="EE370" s="33"/>
      <c r="EF370" s="33"/>
      <c r="EG370" s="33"/>
      <c r="EH370" s="33"/>
      <c r="EI370" s="33"/>
      <c r="EJ370" s="33"/>
      <c r="EK370" s="33"/>
      <c r="EL370" s="33"/>
      <c r="EM370" s="33"/>
      <c r="EN370" s="33"/>
      <c r="EO370" s="33"/>
      <c r="EP370" s="33"/>
      <c r="EQ370" s="33"/>
      <c r="ER370" s="33"/>
      <c r="ES370" s="33"/>
      <c r="ET370" s="33"/>
      <c r="EU370" s="33"/>
      <c r="EV370" s="33"/>
      <c r="EW370" s="33"/>
      <c r="EX370" s="33"/>
      <c r="EY370" s="33"/>
    </row>
    <row r="371" spans="44:155" x14ac:dyDescent="0.3">
      <c r="AR371" s="1"/>
      <c r="AS371" s="1"/>
      <c r="AT371" s="1"/>
      <c r="AU371" s="1"/>
      <c r="AV371" s="1"/>
      <c r="AW371" s="1"/>
      <c r="DS371" s="33"/>
      <c r="DT371" s="33"/>
      <c r="DU371" s="33"/>
      <c r="DV371" s="33"/>
      <c r="DW371" s="33"/>
      <c r="DX371" s="33"/>
      <c r="DY371" s="33"/>
      <c r="DZ371" s="33"/>
      <c r="EA371" s="33"/>
      <c r="EB371" s="33"/>
      <c r="EC371" s="33"/>
      <c r="ED371" s="33"/>
      <c r="EE371" s="33"/>
      <c r="EF371" s="33"/>
      <c r="EG371" s="33"/>
      <c r="EH371" s="33"/>
      <c r="EI371" s="33"/>
      <c r="EJ371" s="33"/>
      <c r="EK371" s="33"/>
      <c r="EL371" s="33"/>
      <c r="EM371" s="33"/>
      <c r="EN371" s="33"/>
      <c r="EO371" s="33"/>
      <c r="EP371" s="33"/>
      <c r="EQ371" s="33"/>
      <c r="ER371" s="33"/>
      <c r="ES371" s="33"/>
      <c r="ET371" s="33"/>
      <c r="EU371" s="33"/>
      <c r="EV371" s="33"/>
      <c r="EW371" s="33"/>
      <c r="EX371" s="33"/>
      <c r="EY371" s="33"/>
    </row>
    <row r="372" spans="44:155" x14ac:dyDescent="0.3">
      <c r="AR372" s="1"/>
      <c r="AS372" s="1"/>
      <c r="AT372" s="1"/>
      <c r="AU372" s="1"/>
      <c r="AV372" s="1"/>
      <c r="AW372" s="1"/>
      <c r="DS372" s="33"/>
      <c r="DT372" s="33"/>
      <c r="DU372" s="33"/>
      <c r="DV372" s="33"/>
      <c r="DW372" s="33"/>
      <c r="DX372" s="33"/>
      <c r="DY372" s="33"/>
      <c r="DZ372" s="33"/>
      <c r="EA372" s="33"/>
      <c r="EB372" s="33"/>
      <c r="EC372" s="33"/>
      <c r="ED372" s="33"/>
      <c r="EE372" s="33"/>
      <c r="EF372" s="33"/>
      <c r="EG372" s="33"/>
      <c r="EH372" s="33"/>
      <c r="EI372" s="33"/>
      <c r="EJ372" s="33"/>
      <c r="EK372" s="33"/>
      <c r="EL372" s="33"/>
      <c r="EM372" s="33"/>
      <c r="EN372" s="33"/>
      <c r="EO372" s="33"/>
      <c r="EP372" s="33"/>
      <c r="EQ372" s="33"/>
      <c r="ER372" s="33"/>
      <c r="ES372" s="33"/>
      <c r="ET372" s="33"/>
      <c r="EU372" s="33"/>
      <c r="EV372" s="33"/>
      <c r="EW372" s="33"/>
      <c r="EX372" s="33"/>
      <c r="EY372" s="33"/>
    </row>
    <row r="373" spans="44:155" x14ac:dyDescent="0.3">
      <c r="AR373" s="1"/>
      <c r="AS373" s="1"/>
      <c r="AT373" s="1"/>
      <c r="AU373" s="1"/>
      <c r="AV373" s="1"/>
      <c r="AW373" s="1"/>
      <c r="DS373" s="33"/>
      <c r="DT373" s="33"/>
      <c r="DU373" s="33"/>
      <c r="DV373" s="33"/>
      <c r="DW373" s="33"/>
      <c r="DX373" s="33"/>
      <c r="DY373" s="33"/>
      <c r="DZ373" s="33"/>
      <c r="EA373" s="33"/>
      <c r="EB373" s="33"/>
      <c r="EC373" s="33"/>
      <c r="ED373" s="33"/>
      <c r="EE373" s="33"/>
      <c r="EF373" s="33"/>
      <c r="EG373" s="33"/>
      <c r="EH373" s="33"/>
      <c r="EI373" s="33"/>
      <c r="EJ373" s="33"/>
      <c r="EK373" s="33"/>
      <c r="EL373" s="33"/>
      <c r="EM373" s="33"/>
      <c r="EN373" s="33"/>
      <c r="EO373" s="33"/>
      <c r="EP373" s="33"/>
      <c r="EQ373" s="33"/>
      <c r="ER373" s="33"/>
      <c r="ES373" s="33"/>
      <c r="ET373" s="33"/>
      <c r="EU373" s="33"/>
      <c r="EV373" s="33"/>
      <c r="EW373" s="33"/>
      <c r="EX373" s="33"/>
      <c r="EY373" s="33"/>
    </row>
    <row r="374" spans="44:155" x14ac:dyDescent="0.3">
      <c r="AR374" s="1"/>
      <c r="AS374" s="1"/>
      <c r="AT374" s="1"/>
      <c r="AU374" s="1"/>
      <c r="AV374" s="1"/>
      <c r="AW374" s="1"/>
      <c r="DS374" s="33"/>
      <c r="DT374" s="33"/>
      <c r="DU374" s="33"/>
      <c r="DV374" s="33"/>
      <c r="DW374" s="33"/>
      <c r="DX374" s="33"/>
      <c r="DY374" s="33"/>
      <c r="DZ374" s="33"/>
      <c r="EA374" s="33"/>
      <c r="EB374" s="33"/>
      <c r="EC374" s="33"/>
      <c r="ED374" s="33"/>
      <c r="EE374" s="33"/>
      <c r="EF374" s="33"/>
      <c r="EG374" s="33"/>
      <c r="EH374" s="33"/>
      <c r="EI374" s="33"/>
      <c r="EJ374" s="33"/>
      <c r="EK374" s="33"/>
      <c r="EL374" s="33"/>
      <c r="EM374" s="33"/>
      <c r="EN374" s="33"/>
      <c r="EO374" s="33"/>
      <c r="EP374" s="33"/>
      <c r="EQ374" s="33"/>
      <c r="ER374" s="33"/>
      <c r="ES374" s="33"/>
      <c r="ET374" s="33"/>
      <c r="EU374" s="33"/>
      <c r="EV374" s="33"/>
      <c r="EW374" s="33"/>
      <c r="EX374" s="33"/>
      <c r="EY374" s="33"/>
    </row>
    <row r="375" spans="44:155" x14ac:dyDescent="0.3">
      <c r="AR375" s="1"/>
      <c r="AS375" s="1"/>
      <c r="AT375" s="1"/>
      <c r="AU375" s="1"/>
      <c r="AV375" s="1"/>
      <c r="AW375" s="1"/>
      <c r="DS375" s="33"/>
      <c r="DT375" s="33"/>
      <c r="DU375" s="33"/>
      <c r="DV375" s="33"/>
      <c r="DW375" s="33"/>
      <c r="DX375" s="33"/>
      <c r="DY375" s="33"/>
      <c r="DZ375" s="33"/>
      <c r="EA375" s="33"/>
      <c r="EB375" s="33"/>
      <c r="EC375" s="33"/>
      <c r="ED375" s="33"/>
      <c r="EE375" s="33"/>
      <c r="EF375" s="33"/>
      <c r="EG375" s="33"/>
      <c r="EH375" s="33"/>
      <c r="EI375" s="33"/>
      <c r="EJ375" s="33"/>
      <c r="EK375" s="33"/>
      <c r="EL375" s="33"/>
      <c r="EM375" s="33"/>
      <c r="EN375" s="33"/>
      <c r="EO375" s="33"/>
      <c r="EP375" s="33"/>
      <c r="EQ375" s="33"/>
      <c r="ER375" s="33"/>
      <c r="ES375" s="33"/>
      <c r="ET375" s="33"/>
      <c r="EU375" s="33"/>
      <c r="EV375" s="33"/>
      <c r="EW375" s="33"/>
      <c r="EX375" s="33"/>
      <c r="EY375" s="33"/>
    </row>
    <row r="376" spans="44:155" x14ac:dyDescent="0.3">
      <c r="AR376" s="1"/>
      <c r="AS376" s="1"/>
      <c r="AT376" s="1"/>
      <c r="AU376" s="1"/>
      <c r="AV376" s="1"/>
      <c r="AW376" s="1"/>
      <c r="DS376" s="33"/>
      <c r="DT376" s="33"/>
      <c r="DU376" s="33"/>
      <c r="DV376" s="33"/>
      <c r="DW376" s="33"/>
      <c r="DX376" s="33"/>
      <c r="DY376" s="33"/>
      <c r="DZ376" s="33"/>
      <c r="EA376" s="33"/>
      <c r="EB376" s="33"/>
      <c r="EC376" s="33"/>
      <c r="ED376" s="33"/>
      <c r="EE376" s="33"/>
      <c r="EF376" s="33"/>
      <c r="EG376" s="33"/>
      <c r="EH376" s="33"/>
      <c r="EI376" s="33"/>
      <c r="EJ376" s="33"/>
      <c r="EK376" s="33"/>
      <c r="EL376" s="33"/>
      <c r="EM376" s="33"/>
      <c r="EN376" s="33"/>
      <c r="EO376" s="33"/>
      <c r="EP376" s="33"/>
      <c r="EQ376" s="33"/>
      <c r="ER376" s="33"/>
      <c r="ES376" s="33"/>
      <c r="ET376" s="33"/>
      <c r="EU376" s="33"/>
      <c r="EV376" s="33"/>
      <c r="EW376" s="33"/>
      <c r="EX376" s="33"/>
      <c r="EY376" s="33"/>
    </row>
    <row r="377" spans="44:155" x14ac:dyDescent="0.3">
      <c r="AR377" s="1"/>
      <c r="AS377" s="1"/>
      <c r="AT377" s="1"/>
      <c r="AU377" s="1"/>
      <c r="AV377" s="1"/>
      <c r="AW377" s="1"/>
      <c r="DS377" s="33"/>
      <c r="DT377" s="33"/>
      <c r="DU377" s="33"/>
      <c r="DV377" s="33"/>
      <c r="DW377" s="33"/>
      <c r="DX377" s="33"/>
      <c r="DY377" s="33"/>
      <c r="DZ377" s="33"/>
      <c r="EA377" s="33"/>
      <c r="EB377" s="33"/>
      <c r="EC377" s="33"/>
      <c r="ED377" s="33"/>
      <c r="EE377" s="33"/>
      <c r="EF377" s="33"/>
      <c r="EG377" s="33"/>
      <c r="EH377" s="33"/>
      <c r="EI377" s="33"/>
      <c r="EJ377" s="33"/>
      <c r="EK377" s="33"/>
      <c r="EL377" s="33"/>
      <c r="EM377" s="33"/>
      <c r="EN377" s="33"/>
      <c r="EO377" s="33"/>
      <c r="EP377" s="33"/>
      <c r="EQ377" s="33"/>
      <c r="ER377" s="33"/>
      <c r="ES377" s="33"/>
      <c r="ET377" s="33"/>
      <c r="EU377" s="33"/>
      <c r="EV377" s="33"/>
      <c r="EW377" s="33"/>
      <c r="EX377" s="33"/>
      <c r="EY377" s="33"/>
    </row>
    <row r="378" spans="44:155" x14ac:dyDescent="0.3">
      <c r="AR378" s="1"/>
      <c r="AS378" s="1"/>
      <c r="AT378" s="1"/>
      <c r="AU378" s="1"/>
      <c r="AV378" s="1"/>
      <c r="AW378" s="1"/>
      <c r="DS378" s="33"/>
      <c r="DT378" s="33"/>
      <c r="DU378" s="33"/>
      <c r="DV378" s="33"/>
      <c r="DW378" s="33"/>
      <c r="DX378" s="33"/>
      <c r="DY378" s="33"/>
      <c r="DZ378" s="33"/>
      <c r="EA378" s="33"/>
      <c r="EB378" s="33"/>
      <c r="EC378" s="33"/>
      <c r="ED378" s="33"/>
      <c r="EE378" s="33"/>
      <c r="EF378" s="33"/>
      <c r="EG378" s="33"/>
      <c r="EH378" s="33"/>
      <c r="EI378" s="33"/>
      <c r="EJ378" s="33"/>
      <c r="EK378" s="33"/>
      <c r="EL378" s="33"/>
      <c r="EM378" s="33"/>
      <c r="EN378" s="33"/>
      <c r="EO378" s="33"/>
      <c r="EP378" s="33"/>
      <c r="EQ378" s="33"/>
      <c r="ER378" s="33"/>
      <c r="ES378" s="33"/>
      <c r="ET378" s="33"/>
      <c r="EU378" s="33"/>
      <c r="EV378" s="33"/>
      <c r="EW378" s="33"/>
      <c r="EX378" s="33"/>
      <c r="EY378" s="33"/>
    </row>
    <row r="379" spans="44:155" x14ac:dyDescent="0.3">
      <c r="AR379" s="1"/>
      <c r="AS379" s="1"/>
      <c r="AT379" s="1"/>
      <c r="AU379" s="1"/>
      <c r="AV379" s="1"/>
      <c r="AW379" s="1"/>
      <c r="DS379" s="33"/>
      <c r="DT379" s="33"/>
      <c r="DU379" s="33"/>
      <c r="DV379" s="33"/>
      <c r="DW379" s="33"/>
      <c r="DX379" s="33"/>
      <c r="DY379" s="33"/>
      <c r="DZ379" s="33"/>
      <c r="EA379" s="33"/>
      <c r="EB379" s="33"/>
      <c r="EC379" s="33"/>
      <c r="ED379" s="33"/>
      <c r="EE379" s="33"/>
      <c r="EF379" s="33"/>
      <c r="EG379" s="33"/>
      <c r="EH379" s="33"/>
      <c r="EI379" s="33"/>
      <c r="EJ379" s="33"/>
      <c r="EK379" s="33"/>
      <c r="EL379" s="33"/>
      <c r="EM379" s="33"/>
      <c r="EN379" s="33"/>
      <c r="EO379" s="33"/>
      <c r="EP379" s="33"/>
      <c r="EQ379" s="33"/>
      <c r="ER379" s="33"/>
      <c r="ES379" s="33"/>
      <c r="ET379" s="33"/>
      <c r="EU379" s="33"/>
      <c r="EV379" s="33"/>
      <c r="EW379" s="33"/>
      <c r="EX379" s="33"/>
      <c r="EY379" s="33"/>
    </row>
    <row r="380" spans="44:155" x14ac:dyDescent="0.3">
      <c r="AR380" s="1"/>
      <c r="AS380" s="1"/>
      <c r="AT380" s="1"/>
      <c r="AU380" s="1"/>
      <c r="AV380" s="1"/>
      <c r="AW380" s="1"/>
      <c r="DS380" s="33"/>
      <c r="DT380" s="33"/>
      <c r="DU380" s="33"/>
      <c r="DV380" s="33"/>
      <c r="DW380" s="33"/>
      <c r="DX380" s="33"/>
      <c r="DY380" s="33"/>
      <c r="DZ380" s="33"/>
      <c r="EA380" s="33"/>
      <c r="EB380" s="33"/>
      <c r="EC380" s="33"/>
      <c r="ED380" s="33"/>
      <c r="EE380" s="33"/>
      <c r="EF380" s="33"/>
      <c r="EG380" s="33"/>
      <c r="EH380" s="33"/>
      <c r="EI380" s="33"/>
      <c r="EJ380" s="33"/>
      <c r="EK380" s="33"/>
      <c r="EL380" s="33"/>
      <c r="EM380" s="33"/>
      <c r="EN380" s="33"/>
      <c r="EO380" s="33"/>
      <c r="EP380" s="33"/>
      <c r="EQ380" s="33"/>
      <c r="ER380" s="33"/>
      <c r="ES380" s="33"/>
      <c r="ET380" s="33"/>
      <c r="EU380" s="33"/>
      <c r="EV380" s="33"/>
      <c r="EW380" s="33"/>
      <c r="EX380" s="33"/>
      <c r="EY380" s="33"/>
    </row>
    <row r="381" spans="44:155" x14ac:dyDescent="0.3">
      <c r="AR381" s="1"/>
      <c r="AS381" s="1"/>
      <c r="AT381" s="1"/>
      <c r="AU381" s="1"/>
      <c r="AV381" s="1"/>
      <c r="AW381" s="1"/>
      <c r="DS381" s="33"/>
      <c r="DT381" s="33"/>
      <c r="DU381" s="33"/>
      <c r="DV381" s="33"/>
      <c r="DW381" s="33"/>
      <c r="DX381" s="33"/>
      <c r="DY381" s="33"/>
      <c r="DZ381" s="33"/>
      <c r="EA381" s="33"/>
      <c r="EB381" s="33"/>
      <c r="EC381" s="33"/>
      <c r="ED381" s="33"/>
      <c r="EE381" s="33"/>
      <c r="EF381" s="33"/>
      <c r="EG381" s="33"/>
      <c r="EH381" s="33"/>
      <c r="EI381" s="33"/>
      <c r="EJ381" s="33"/>
      <c r="EK381" s="33"/>
      <c r="EL381" s="33"/>
      <c r="EM381" s="33"/>
      <c r="EN381" s="33"/>
      <c r="EO381" s="33"/>
      <c r="EP381" s="33"/>
      <c r="EQ381" s="33"/>
      <c r="ER381" s="33"/>
      <c r="ES381" s="33"/>
      <c r="ET381" s="33"/>
      <c r="EU381" s="33"/>
      <c r="EV381" s="33"/>
      <c r="EW381" s="33"/>
      <c r="EX381" s="33"/>
      <c r="EY381" s="33"/>
    </row>
    <row r="382" spans="44:155" x14ac:dyDescent="0.3">
      <c r="AR382" s="1"/>
      <c r="AS382" s="1"/>
      <c r="AT382" s="1"/>
      <c r="AU382" s="1"/>
      <c r="AV382" s="1"/>
      <c r="AW382" s="1"/>
      <c r="DS382" s="33"/>
      <c r="DT382" s="33"/>
      <c r="DU382" s="33"/>
      <c r="DV382" s="33"/>
      <c r="DW382" s="33"/>
      <c r="DX382" s="33"/>
      <c r="DY382" s="33"/>
      <c r="DZ382" s="33"/>
      <c r="EA382" s="33"/>
      <c r="EB382" s="33"/>
      <c r="EC382" s="33"/>
      <c r="ED382" s="33"/>
      <c r="EE382" s="33"/>
      <c r="EF382" s="33"/>
      <c r="EG382" s="33"/>
      <c r="EH382" s="33"/>
      <c r="EI382" s="33"/>
      <c r="EJ382" s="33"/>
      <c r="EK382" s="33"/>
      <c r="EL382" s="33"/>
      <c r="EM382" s="33"/>
      <c r="EN382" s="33"/>
      <c r="EO382" s="33"/>
      <c r="EP382" s="33"/>
      <c r="EQ382" s="33"/>
      <c r="ER382" s="33"/>
      <c r="ES382" s="33"/>
      <c r="ET382" s="33"/>
      <c r="EU382" s="33"/>
      <c r="EV382" s="33"/>
      <c r="EW382" s="33"/>
      <c r="EX382" s="33"/>
      <c r="EY382" s="33"/>
    </row>
    <row r="383" spans="44:155" x14ac:dyDescent="0.3">
      <c r="AR383" s="1"/>
      <c r="AS383" s="1"/>
      <c r="AT383" s="1"/>
      <c r="AU383" s="1"/>
      <c r="AV383" s="1"/>
      <c r="AW383" s="1"/>
      <c r="DS383" s="33"/>
      <c r="DT383" s="33"/>
      <c r="DU383" s="33"/>
      <c r="DV383" s="33"/>
      <c r="DW383" s="33"/>
      <c r="DX383" s="33"/>
      <c r="DY383" s="33"/>
      <c r="DZ383" s="33"/>
      <c r="EA383" s="33"/>
      <c r="EB383" s="33"/>
      <c r="EC383" s="33"/>
      <c r="ED383" s="33"/>
      <c r="EE383" s="33"/>
      <c r="EF383" s="33"/>
      <c r="EG383" s="33"/>
      <c r="EH383" s="33"/>
      <c r="EI383" s="33"/>
      <c r="EJ383" s="33"/>
      <c r="EK383" s="33"/>
      <c r="EL383" s="33"/>
      <c r="EM383" s="33"/>
      <c r="EN383" s="33"/>
      <c r="EO383" s="33"/>
      <c r="EP383" s="33"/>
      <c r="EQ383" s="33"/>
      <c r="ER383" s="33"/>
      <c r="ES383" s="33"/>
      <c r="ET383" s="33"/>
      <c r="EU383" s="33"/>
      <c r="EV383" s="33"/>
      <c r="EW383" s="33"/>
      <c r="EX383" s="33"/>
      <c r="EY383" s="33"/>
    </row>
    <row r="384" spans="44:155" x14ac:dyDescent="0.3">
      <c r="AR384" s="1"/>
      <c r="AS384" s="1"/>
      <c r="AT384" s="1"/>
      <c r="AU384" s="1"/>
      <c r="AV384" s="1"/>
      <c r="AW384" s="1"/>
      <c r="DS384" s="33"/>
      <c r="DT384" s="33"/>
      <c r="DU384" s="33"/>
      <c r="DV384" s="33"/>
      <c r="DW384" s="33"/>
      <c r="DX384" s="33"/>
      <c r="DY384" s="33"/>
      <c r="DZ384" s="33"/>
      <c r="EA384" s="33"/>
      <c r="EB384" s="33"/>
      <c r="EC384" s="33"/>
      <c r="ED384" s="33"/>
      <c r="EE384" s="33"/>
      <c r="EF384" s="33"/>
      <c r="EG384" s="33"/>
      <c r="EH384" s="33"/>
      <c r="EI384" s="33"/>
      <c r="EJ384" s="33"/>
      <c r="EK384" s="33"/>
      <c r="EL384" s="33"/>
      <c r="EM384" s="33"/>
      <c r="EN384" s="33"/>
      <c r="EO384" s="33"/>
      <c r="EP384" s="33"/>
      <c r="EQ384" s="33"/>
      <c r="ER384" s="33"/>
      <c r="ES384" s="33"/>
      <c r="ET384" s="33"/>
      <c r="EU384" s="33"/>
      <c r="EV384" s="33"/>
      <c r="EW384" s="33"/>
      <c r="EX384" s="33"/>
      <c r="EY384" s="33"/>
    </row>
    <row r="385" spans="44:155" x14ac:dyDescent="0.3">
      <c r="AR385" s="1"/>
      <c r="AS385" s="1"/>
      <c r="AT385" s="1"/>
      <c r="AU385" s="1"/>
      <c r="AV385" s="1"/>
      <c r="AW385" s="1"/>
      <c r="DS385" s="33"/>
      <c r="DT385" s="33"/>
      <c r="DU385" s="33"/>
      <c r="DV385" s="33"/>
      <c r="DW385" s="33"/>
      <c r="DX385" s="33"/>
      <c r="DY385" s="33"/>
      <c r="DZ385" s="33"/>
      <c r="EA385" s="33"/>
      <c r="EB385" s="33"/>
      <c r="EC385" s="33"/>
      <c r="ED385" s="33"/>
      <c r="EE385" s="33"/>
      <c r="EF385" s="33"/>
      <c r="EG385" s="33"/>
      <c r="EH385" s="33"/>
      <c r="EI385" s="33"/>
      <c r="EJ385" s="33"/>
      <c r="EK385" s="33"/>
      <c r="EL385" s="33"/>
      <c r="EM385" s="33"/>
      <c r="EN385" s="33"/>
      <c r="EO385" s="33"/>
      <c r="EP385" s="33"/>
      <c r="EQ385" s="33"/>
      <c r="ER385" s="33"/>
      <c r="ES385" s="33"/>
      <c r="ET385" s="33"/>
      <c r="EU385" s="33"/>
      <c r="EV385" s="33"/>
      <c r="EW385" s="33"/>
      <c r="EX385" s="33"/>
      <c r="EY385" s="33"/>
    </row>
    <row r="386" spans="44:155" x14ac:dyDescent="0.3">
      <c r="AR386" s="1"/>
      <c r="AS386" s="1"/>
      <c r="AT386" s="1"/>
      <c r="AU386" s="1"/>
      <c r="AV386" s="1"/>
      <c r="AW386" s="1"/>
      <c r="DS386" s="33"/>
      <c r="DT386" s="33"/>
      <c r="DU386" s="33"/>
      <c r="DV386" s="33"/>
      <c r="DW386" s="33"/>
      <c r="DX386" s="33"/>
      <c r="DY386" s="33"/>
      <c r="DZ386" s="33"/>
      <c r="EA386" s="33"/>
      <c r="EB386" s="33"/>
      <c r="EC386" s="33"/>
      <c r="ED386" s="33"/>
      <c r="EE386" s="33"/>
      <c r="EF386" s="33"/>
      <c r="EG386" s="33"/>
      <c r="EH386" s="33"/>
      <c r="EI386" s="33"/>
      <c r="EJ386" s="33"/>
      <c r="EK386" s="33"/>
      <c r="EL386" s="33"/>
      <c r="EM386" s="33"/>
      <c r="EN386" s="33"/>
      <c r="EO386" s="33"/>
      <c r="EP386" s="33"/>
      <c r="EQ386" s="33"/>
      <c r="ER386" s="33"/>
      <c r="ES386" s="33"/>
      <c r="ET386" s="33"/>
      <c r="EU386" s="33"/>
      <c r="EV386" s="33"/>
      <c r="EW386" s="33"/>
      <c r="EX386" s="33"/>
      <c r="EY386" s="33"/>
    </row>
    <row r="387" spans="44:155" x14ac:dyDescent="0.3">
      <c r="AR387" s="1"/>
      <c r="AS387" s="1"/>
      <c r="AT387" s="1"/>
      <c r="AU387" s="1"/>
      <c r="AV387" s="1"/>
      <c r="AW387" s="1"/>
      <c r="DS387" s="33"/>
      <c r="DT387" s="33"/>
      <c r="DU387" s="33"/>
      <c r="DV387" s="33"/>
      <c r="DW387" s="33"/>
      <c r="DX387" s="33"/>
      <c r="DY387" s="33"/>
      <c r="DZ387" s="33"/>
      <c r="EA387" s="33"/>
      <c r="EB387" s="33"/>
      <c r="EC387" s="33"/>
      <c r="ED387" s="33"/>
      <c r="EE387" s="33"/>
      <c r="EF387" s="33"/>
      <c r="EG387" s="33"/>
      <c r="EH387" s="33"/>
      <c r="EI387" s="33"/>
      <c r="EJ387" s="33"/>
      <c r="EK387" s="33"/>
      <c r="EL387" s="33"/>
      <c r="EM387" s="33"/>
      <c r="EN387" s="33"/>
      <c r="EO387" s="33"/>
      <c r="EP387" s="33"/>
      <c r="EQ387" s="33"/>
      <c r="ER387" s="33"/>
      <c r="ES387" s="33"/>
      <c r="ET387" s="33"/>
      <c r="EU387" s="33"/>
      <c r="EV387" s="33"/>
      <c r="EW387" s="33"/>
      <c r="EX387" s="33"/>
      <c r="EY387" s="33"/>
    </row>
    <row r="388" spans="44:155" x14ac:dyDescent="0.3">
      <c r="AR388" s="1"/>
      <c r="AS388" s="1"/>
      <c r="AT388" s="1"/>
      <c r="AU388" s="1"/>
      <c r="AV388" s="1"/>
      <c r="AW388" s="1"/>
      <c r="DS388" s="33"/>
      <c r="DT388" s="33"/>
      <c r="DU388" s="33"/>
      <c r="DV388" s="33"/>
      <c r="DW388" s="33"/>
      <c r="DX388" s="33"/>
      <c r="DY388" s="33"/>
      <c r="DZ388" s="33"/>
      <c r="EA388" s="33"/>
      <c r="EB388" s="33"/>
      <c r="EC388" s="33"/>
      <c r="ED388" s="33"/>
      <c r="EE388" s="33"/>
      <c r="EF388" s="33"/>
      <c r="EG388" s="33"/>
      <c r="EH388" s="33"/>
      <c r="EI388" s="33"/>
      <c r="EJ388" s="33"/>
      <c r="EK388" s="33"/>
      <c r="EL388" s="33"/>
      <c r="EM388" s="33"/>
      <c r="EN388" s="33"/>
      <c r="EO388" s="33"/>
      <c r="EP388" s="33"/>
      <c r="EQ388" s="33"/>
      <c r="ER388" s="33"/>
      <c r="ES388" s="33"/>
      <c r="ET388" s="33"/>
      <c r="EU388" s="33"/>
      <c r="EV388" s="33"/>
      <c r="EW388" s="33"/>
      <c r="EX388" s="33"/>
      <c r="EY388" s="33"/>
    </row>
    <row r="389" spans="44:155" x14ac:dyDescent="0.3">
      <c r="AR389" s="1"/>
      <c r="AS389" s="1"/>
      <c r="AT389" s="1"/>
      <c r="AU389" s="1"/>
      <c r="AV389" s="1"/>
      <c r="AW389" s="1"/>
      <c r="DS389" s="33"/>
      <c r="DT389" s="33"/>
      <c r="DU389" s="33"/>
      <c r="DV389" s="33"/>
      <c r="DW389" s="33"/>
      <c r="DX389" s="33"/>
      <c r="DY389" s="33"/>
      <c r="DZ389" s="33"/>
      <c r="EA389" s="33"/>
      <c r="EB389" s="33"/>
      <c r="EC389" s="33"/>
      <c r="ED389" s="33"/>
      <c r="EE389" s="33"/>
      <c r="EF389" s="33"/>
      <c r="EG389" s="33"/>
      <c r="EH389" s="33"/>
      <c r="EI389" s="33"/>
      <c r="EJ389" s="33"/>
      <c r="EK389" s="33"/>
      <c r="EL389" s="33"/>
      <c r="EM389" s="33"/>
      <c r="EN389" s="33"/>
      <c r="EO389" s="33"/>
      <c r="EP389" s="33"/>
      <c r="EQ389" s="33"/>
      <c r="ER389" s="33"/>
      <c r="ES389" s="33"/>
      <c r="ET389" s="33"/>
      <c r="EU389" s="33"/>
      <c r="EV389" s="33"/>
      <c r="EW389" s="33"/>
      <c r="EX389" s="33"/>
      <c r="EY389" s="33"/>
    </row>
    <row r="390" spans="44:155" x14ac:dyDescent="0.3">
      <c r="AR390" s="1"/>
      <c r="AS390" s="1"/>
      <c r="AT390" s="1"/>
      <c r="AU390" s="1"/>
      <c r="AV390" s="1"/>
      <c r="AW390" s="1"/>
      <c r="DS390" s="33"/>
      <c r="DT390" s="33"/>
      <c r="DU390" s="33"/>
      <c r="DV390" s="33"/>
      <c r="DW390" s="33"/>
      <c r="DX390" s="33"/>
      <c r="DY390" s="33"/>
      <c r="DZ390" s="33"/>
      <c r="EA390" s="33"/>
      <c r="EB390" s="33"/>
      <c r="EC390" s="33"/>
      <c r="ED390" s="33"/>
      <c r="EE390" s="33"/>
      <c r="EF390" s="33"/>
      <c r="EG390" s="33"/>
      <c r="EH390" s="33"/>
      <c r="EI390" s="33"/>
      <c r="EJ390" s="33"/>
      <c r="EK390" s="33"/>
      <c r="EL390" s="33"/>
      <c r="EM390" s="33"/>
      <c r="EN390" s="33"/>
      <c r="EO390" s="33"/>
      <c r="EP390" s="33"/>
      <c r="EQ390" s="33"/>
      <c r="ER390" s="33"/>
      <c r="ES390" s="33"/>
      <c r="ET390" s="33"/>
      <c r="EU390" s="33"/>
      <c r="EV390" s="33"/>
      <c r="EW390" s="33"/>
      <c r="EX390" s="33"/>
      <c r="EY390" s="33"/>
    </row>
    <row r="391" spans="44:155" x14ac:dyDescent="0.3">
      <c r="AR391" s="1"/>
      <c r="AS391" s="1"/>
      <c r="AT391" s="1"/>
      <c r="AU391" s="1"/>
      <c r="AV391" s="1"/>
      <c r="AW391" s="1"/>
      <c r="DS391" s="33"/>
      <c r="DT391" s="33"/>
      <c r="DU391" s="33"/>
      <c r="DV391" s="33"/>
      <c r="DW391" s="33"/>
      <c r="DX391" s="33"/>
      <c r="DY391" s="33"/>
      <c r="DZ391" s="33"/>
      <c r="EA391" s="33"/>
      <c r="EB391" s="33"/>
      <c r="EC391" s="33"/>
      <c r="ED391" s="33"/>
      <c r="EE391" s="33"/>
      <c r="EF391" s="33"/>
      <c r="EG391" s="33"/>
      <c r="EH391" s="33"/>
      <c r="EI391" s="33"/>
      <c r="EJ391" s="33"/>
      <c r="EK391" s="33"/>
      <c r="EL391" s="33"/>
      <c r="EM391" s="33"/>
      <c r="EN391" s="33"/>
      <c r="EO391" s="33"/>
      <c r="EP391" s="33"/>
      <c r="EQ391" s="33"/>
      <c r="ER391" s="33"/>
      <c r="ES391" s="33"/>
      <c r="ET391" s="33"/>
      <c r="EU391" s="33"/>
      <c r="EV391" s="33"/>
      <c r="EW391" s="33"/>
      <c r="EX391" s="33"/>
      <c r="EY391" s="33"/>
    </row>
    <row r="392" spans="44:155" x14ac:dyDescent="0.3">
      <c r="AR392" s="1"/>
      <c r="AS392" s="1"/>
      <c r="AT392" s="1"/>
      <c r="AU392" s="1"/>
      <c r="AV392" s="1"/>
      <c r="AW392" s="1"/>
      <c r="DS392" s="33"/>
      <c r="DT392" s="33"/>
      <c r="DU392" s="33"/>
      <c r="DV392" s="33"/>
      <c r="DW392" s="33"/>
      <c r="DX392" s="33"/>
      <c r="DY392" s="33"/>
      <c r="DZ392" s="33"/>
      <c r="EA392" s="33"/>
      <c r="EB392" s="33"/>
      <c r="EC392" s="33"/>
      <c r="ED392" s="33"/>
      <c r="EE392" s="33"/>
      <c r="EF392" s="33"/>
      <c r="EG392" s="33"/>
      <c r="EH392" s="33"/>
      <c r="EI392" s="33"/>
      <c r="EJ392" s="33"/>
      <c r="EK392" s="33"/>
      <c r="EL392" s="33"/>
      <c r="EM392" s="33"/>
      <c r="EN392" s="33"/>
      <c r="EO392" s="33"/>
      <c r="EP392" s="33"/>
      <c r="EQ392" s="33"/>
      <c r="ER392" s="33"/>
      <c r="ES392" s="33"/>
      <c r="ET392" s="33"/>
      <c r="EU392" s="33"/>
      <c r="EV392" s="33"/>
      <c r="EW392" s="33"/>
      <c r="EX392" s="33"/>
      <c r="EY392" s="33"/>
    </row>
    <row r="393" spans="44:155" x14ac:dyDescent="0.3">
      <c r="AR393" s="1"/>
      <c r="AS393" s="1"/>
      <c r="AT393" s="1"/>
      <c r="AU393" s="1"/>
      <c r="AV393" s="1"/>
      <c r="AW393" s="1"/>
      <c r="DS393" s="33"/>
      <c r="DT393" s="33"/>
      <c r="DU393" s="33"/>
      <c r="DV393" s="33"/>
      <c r="DW393" s="33"/>
      <c r="DX393" s="33"/>
      <c r="DY393" s="33"/>
      <c r="DZ393" s="33"/>
      <c r="EA393" s="33"/>
      <c r="EB393" s="33"/>
      <c r="EC393" s="33"/>
      <c r="ED393" s="33"/>
      <c r="EE393" s="33"/>
      <c r="EF393" s="33"/>
      <c r="EG393" s="33"/>
      <c r="EH393" s="33"/>
      <c r="EI393" s="33"/>
      <c r="EJ393" s="33"/>
      <c r="EK393" s="33"/>
      <c r="EL393" s="33"/>
      <c r="EM393" s="33"/>
      <c r="EN393" s="33"/>
      <c r="EO393" s="33"/>
      <c r="EP393" s="33"/>
      <c r="EQ393" s="33"/>
      <c r="ER393" s="33"/>
      <c r="ES393" s="33"/>
      <c r="ET393" s="33"/>
      <c r="EU393" s="33"/>
      <c r="EV393" s="33"/>
      <c r="EW393" s="33"/>
      <c r="EX393" s="33"/>
      <c r="EY393" s="33"/>
    </row>
    <row r="394" spans="44:155" x14ac:dyDescent="0.3">
      <c r="AR394" s="1"/>
      <c r="AS394" s="1"/>
      <c r="AT394" s="1"/>
      <c r="AU394" s="1"/>
      <c r="AV394" s="1"/>
      <c r="AW394" s="1"/>
      <c r="DS394" s="33"/>
      <c r="DT394" s="33"/>
      <c r="DU394" s="33"/>
      <c r="DV394" s="33"/>
      <c r="DW394" s="33"/>
      <c r="DX394" s="33"/>
      <c r="DY394" s="33"/>
      <c r="DZ394" s="33"/>
      <c r="EA394" s="33"/>
      <c r="EB394" s="33"/>
      <c r="EC394" s="33"/>
      <c r="ED394" s="33"/>
      <c r="EE394" s="33"/>
      <c r="EF394" s="33"/>
      <c r="EG394" s="33"/>
      <c r="EH394" s="33"/>
      <c r="EI394" s="33"/>
      <c r="EJ394" s="33"/>
      <c r="EK394" s="33"/>
      <c r="EL394" s="33"/>
      <c r="EM394" s="33"/>
      <c r="EN394" s="33"/>
      <c r="EO394" s="33"/>
      <c r="EP394" s="33"/>
      <c r="EQ394" s="33"/>
      <c r="ER394" s="33"/>
      <c r="ES394" s="33"/>
      <c r="ET394" s="33"/>
      <c r="EU394" s="33"/>
      <c r="EV394" s="33"/>
      <c r="EW394" s="33"/>
      <c r="EX394" s="33"/>
      <c r="EY394" s="33"/>
    </row>
    <row r="395" spans="44:155" x14ac:dyDescent="0.3">
      <c r="AR395" s="1"/>
      <c r="AS395" s="1"/>
      <c r="AT395" s="1"/>
      <c r="AU395" s="1"/>
      <c r="AV395" s="1"/>
      <c r="AW395" s="1"/>
      <c r="DS395" s="33"/>
      <c r="DT395" s="33"/>
      <c r="DU395" s="33"/>
      <c r="DV395" s="33"/>
      <c r="DW395" s="33"/>
      <c r="DX395" s="33"/>
      <c r="DY395" s="33"/>
      <c r="DZ395" s="33"/>
      <c r="EA395" s="33"/>
      <c r="EB395" s="33"/>
      <c r="EC395" s="33"/>
      <c r="ED395" s="33"/>
      <c r="EE395" s="33"/>
      <c r="EF395" s="33"/>
      <c r="EG395" s="33"/>
      <c r="EH395" s="33"/>
      <c r="EI395" s="33"/>
      <c r="EJ395" s="33"/>
      <c r="EK395" s="33"/>
      <c r="EL395" s="33"/>
      <c r="EM395" s="33"/>
      <c r="EN395" s="33"/>
      <c r="EO395" s="33"/>
      <c r="EP395" s="33"/>
      <c r="EQ395" s="33"/>
      <c r="ER395" s="33"/>
      <c r="ES395" s="33"/>
      <c r="ET395" s="33"/>
      <c r="EU395" s="33"/>
      <c r="EV395" s="33"/>
      <c r="EW395" s="33"/>
      <c r="EX395" s="33"/>
      <c r="EY395" s="33"/>
    </row>
    <row r="396" spans="44:155" x14ac:dyDescent="0.3">
      <c r="AR396" s="1"/>
      <c r="AS396" s="1"/>
      <c r="AT396" s="1"/>
      <c r="AU396" s="1"/>
      <c r="AV396" s="1"/>
      <c r="AW396" s="1"/>
      <c r="DS396" s="33"/>
      <c r="DT396" s="33"/>
      <c r="DU396" s="33"/>
      <c r="DV396" s="33"/>
      <c r="DW396" s="33"/>
      <c r="DX396" s="33"/>
      <c r="DY396" s="33"/>
      <c r="DZ396" s="33"/>
      <c r="EA396" s="33"/>
      <c r="EB396" s="33"/>
      <c r="EC396" s="33"/>
      <c r="ED396" s="33"/>
      <c r="EE396" s="33"/>
      <c r="EF396" s="33"/>
      <c r="EG396" s="33"/>
      <c r="EH396" s="33"/>
      <c r="EI396" s="33"/>
      <c r="EJ396" s="33"/>
      <c r="EK396" s="33"/>
      <c r="EL396" s="33"/>
      <c r="EM396" s="33"/>
      <c r="EN396" s="33"/>
      <c r="EO396" s="33"/>
      <c r="EP396" s="33"/>
      <c r="EQ396" s="33"/>
      <c r="ER396" s="33"/>
      <c r="ES396" s="33"/>
      <c r="ET396" s="33"/>
      <c r="EU396" s="33"/>
      <c r="EV396" s="33"/>
      <c r="EW396" s="33"/>
      <c r="EX396" s="33"/>
      <c r="EY396" s="33"/>
    </row>
    <row r="397" spans="44:155" x14ac:dyDescent="0.3">
      <c r="AR397" s="1"/>
      <c r="AS397" s="1"/>
      <c r="AT397" s="1"/>
      <c r="AU397" s="1"/>
      <c r="AV397" s="1"/>
      <c r="AW397" s="1"/>
      <c r="DS397" s="33"/>
      <c r="DT397" s="33"/>
      <c r="DU397" s="33"/>
      <c r="DV397" s="33"/>
      <c r="DW397" s="33"/>
      <c r="DX397" s="33"/>
      <c r="DY397" s="33"/>
      <c r="DZ397" s="33"/>
      <c r="EA397" s="33"/>
      <c r="EB397" s="33"/>
      <c r="EC397" s="33"/>
      <c r="ED397" s="33"/>
      <c r="EE397" s="33"/>
      <c r="EF397" s="33"/>
      <c r="EG397" s="33"/>
      <c r="EH397" s="33"/>
      <c r="EI397" s="33"/>
      <c r="EJ397" s="33"/>
      <c r="EK397" s="33"/>
      <c r="EL397" s="33"/>
      <c r="EM397" s="33"/>
      <c r="EN397" s="33"/>
      <c r="EO397" s="33"/>
      <c r="EP397" s="33"/>
      <c r="EQ397" s="33"/>
      <c r="ER397" s="33"/>
      <c r="ES397" s="33"/>
      <c r="ET397" s="33"/>
      <c r="EU397" s="33"/>
      <c r="EV397" s="33"/>
      <c r="EW397" s="33"/>
      <c r="EX397" s="33"/>
      <c r="EY397" s="33"/>
    </row>
    <row r="398" spans="44:155" x14ac:dyDescent="0.3">
      <c r="AR398" s="1"/>
      <c r="AS398" s="1"/>
      <c r="AT398" s="1"/>
      <c r="AU398" s="1"/>
      <c r="AV398" s="1"/>
      <c r="AW398" s="1"/>
      <c r="DS398" s="33"/>
      <c r="DT398" s="33"/>
      <c r="DU398" s="33"/>
      <c r="DV398" s="33"/>
      <c r="DW398" s="33"/>
      <c r="DX398" s="33"/>
      <c r="DY398" s="33"/>
      <c r="DZ398" s="33"/>
      <c r="EA398" s="33"/>
      <c r="EB398" s="33"/>
      <c r="EC398" s="33"/>
      <c r="ED398" s="33"/>
      <c r="EE398" s="33"/>
      <c r="EF398" s="33"/>
      <c r="EG398" s="33"/>
      <c r="EH398" s="33"/>
      <c r="EI398" s="33"/>
      <c r="EJ398" s="33"/>
      <c r="EK398" s="33"/>
      <c r="EL398" s="33"/>
      <c r="EM398" s="33"/>
      <c r="EN398" s="33"/>
      <c r="EO398" s="33"/>
      <c r="EP398" s="33"/>
      <c r="EQ398" s="33"/>
      <c r="ER398" s="33"/>
      <c r="ES398" s="33"/>
      <c r="ET398" s="33"/>
      <c r="EU398" s="33"/>
      <c r="EV398" s="33"/>
      <c r="EW398" s="33"/>
      <c r="EX398" s="33"/>
      <c r="EY398" s="33"/>
    </row>
    <row r="399" spans="44:155" x14ac:dyDescent="0.3">
      <c r="AR399" s="1"/>
      <c r="AS399" s="1"/>
      <c r="AT399" s="1"/>
      <c r="AU399" s="1"/>
      <c r="AV399" s="1"/>
      <c r="AW399" s="1"/>
      <c r="DS399" s="33"/>
      <c r="DT399" s="33"/>
      <c r="DU399" s="33"/>
      <c r="DV399" s="33"/>
      <c r="DW399" s="33"/>
      <c r="DX399" s="33"/>
      <c r="DY399" s="33"/>
      <c r="DZ399" s="33"/>
      <c r="EA399" s="33"/>
      <c r="EB399" s="33"/>
      <c r="EC399" s="33"/>
      <c r="ED399" s="33"/>
      <c r="EE399" s="33"/>
      <c r="EF399" s="33"/>
      <c r="EG399" s="33"/>
      <c r="EH399" s="33"/>
      <c r="EI399" s="33"/>
      <c r="EJ399" s="33"/>
      <c r="EK399" s="33"/>
      <c r="EL399" s="33"/>
      <c r="EM399" s="33"/>
      <c r="EN399" s="33"/>
      <c r="EO399" s="33"/>
      <c r="EP399" s="33"/>
      <c r="EQ399" s="33"/>
      <c r="ER399" s="33"/>
      <c r="ES399" s="33"/>
      <c r="ET399" s="33"/>
      <c r="EU399" s="33"/>
      <c r="EV399" s="33"/>
      <c r="EW399" s="33"/>
      <c r="EX399" s="33"/>
      <c r="EY399" s="33"/>
    </row>
    <row r="400" spans="44:155" x14ac:dyDescent="0.3">
      <c r="AR400" s="1"/>
      <c r="AS400" s="1"/>
      <c r="AT400" s="1"/>
      <c r="AU400" s="1"/>
      <c r="AV400" s="1"/>
      <c r="AW400" s="1"/>
      <c r="DS400" s="33"/>
      <c r="DT400" s="33"/>
      <c r="DU400" s="33"/>
      <c r="DV400" s="33"/>
      <c r="DW400" s="33"/>
      <c r="DX400" s="33"/>
      <c r="DY400" s="33"/>
      <c r="DZ400" s="33"/>
      <c r="EA400" s="33"/>
      <c r="EB400" s="33"/>
      <c r="EC400" s="33"/>
      <c r="ED400" s="33"/>
      <c r="EE400" s="33"/>
      <c r="EF400" s="33"/>
      <c r="EG400" s="33"/>
      <c r="EH400" s="33"/>
      <c r="EI400" s="33"/>
      <c r="EJ400" s="33"/>
      <c r="EK400" s="33"/>
      <c r="EL400" s="33"/>
      <c r="EM400" s="33"/>
      <c r="EN400" s="33"/>
      <c r="EO400" s="33"/>
      <c r="EP400" s="33"/>
      <c r="EQ400" s="33"/>
      <c r="ER400" s="33"/>
      <c r="ES400" s="33"/>
      <c r="ET400" s="33"/>
      <c r="EU400" s="33"/>
      <c r="EV400" s="33"/>
      <c r="EW400" s="33"/>
      <c r="EX400" s="33"/>
      <c r="EY400" s="33"/>
    </row>
    <row r="401" spans="44:155" x14ac:dyDescent="0.3">
      <c r="AR401" s="1"/>
      <c r="AS401" s="1"/>
      <c r="AT401" s="1"/>
      <c r="AU401" s="1"/>
      <c r="AV401" s="1"/>
      <c r="AW401" s="1"/>
      <c r="DS401" s="33"/>
      <c r="DT401" s="33"/>
      <c r="DU401" s="33"/>
      <c r="DV401" s="33"/>
      <c r="DW401" s="33"/>
      <c r="DX401" s="33"/>
      <c r="DY401" s="33"/>
      <c r="DZ401" s="33"/>
      <c r="EA401" s="33"/>
      <c r="EB401" s="33"/>
      <c r="EC401" s="33"/>
      <c r="ED401" s="33"/>
      <c r="EE401" s="33"/>
      <c r="EF401" s="33"/>
      <c r="EG401" s="33"/>
      <c r="EH401" s="33"/>
      <c r="EI401" s="33"/>
      <c r="EJ401" s="33"/>
      <c r="EK401" s="33"/>
      <c r="EL401" s="33"/>
      <c r="EM401" s="33"/>
      <c r="EN401" s="33"/>
      <c r="EO401" s="33"/>
      <c r="EP401" s="33"/>
      <c r="EQ401" s="33"/>
      <c r="ER401" s="33"/>
      <c r="ES401" s="33"/>
      <c r="ET401" s="33"/>
      <c r="EU401" s="33"/>
      <c r="EV401" s="33"/>
      <c r="EW401" s="33"/>
      <c r="EX401" s="33"/>
      <c r="EY401" s="33"/>
    </row>
    <row r="402" spans="44:155" x14ac:dyDescent="0.3">
      <c r="AR402" s="1"/>
      <c r="AS402" s="1"/>
      <c r="AT402" s="1"/>
      <c r="AU402" s="1"/>
      <c r="AV402" s="1"/>
      <c r="AW402" s="1"/>
      <c r="DS402" s="33"/>
      <c r="DT402" s="33"/>
      <c r="DU402" s="33"/>
      <c r="DV402" s="33"/>
      <c r="DW402" s="33"/>
      <c r="DX402" s="33"/>
      <c r="DY402" s="33"/>
      <c r="DZ402" s="33"/>
      <c r="EA402" s="33"/>
      <c r="EB402" s="33"/>
      <c r="EC402" s="33"/>
      <c r="ED402" s="33"/>
      <c r="EE402" s="33"/>
      <c r="EF402" s="33"/>
      <c r="EG402" s="33"/>
      <c r="EH402" s="33"/>
      <c r="EI402" s="33"/>
      <c r="EJ402" s="33"/>
      <c r="EK402" s="33"/>
      <c r="EL402" s="33"/>
      <c r="EM402" s="33"/>
      <c r="EN402" s="33"/>
      <c r="EO402" s="33"/>
      <c r="EP402" s="33"/>
      <c r="EQ402" s="33"/>
      <c r="ER402" s="33"/>
      <c r="ES402" s="33"/>
      <c r="ET402" s="33"/>
      <c r="EU402" s="33"/>
      <c r="EV402" s="33"/>
      <c r="EW402" s="33"/>
      <c r="EX402" s="33"/>
      <c r="EY402" s="33"/>
    </row>
    <row r="403" spans="44:155" x14ac:dyDescent="0.3">
      <c r="AR403" s="1"/>
      <c r="AS403" s="1"/>
      <c r="AT403" s="1"/>
      <c r="AU403" s="1"/>
      <c r="AV403" s="1"/>
      <c r="AW403" s="1"/>
      <c r="DS403" s="33"/>
      <c r="DT403" s="33"/>
      <c r="DU403" s="33"/>
      <c r="DV403" s="33"/>
      <c r="DW403" s="33"/>
      <c r="DX403" s="33"/>
      <c r="DY403" s="33"/>
      <c r="DZ403" s="33"/>
      <c r="EA403" s="33"/>
      <c r="EB403" s="33"/>
      <c r="EC403" s="33"/>
      <c r="ED403" s="33"/>
      <c r="EE403" s="33"/>
      <c r="EF403" s="33"/>
      <c r="EG403" s="33"/>
      <c r="EH403" s="33"/>
      <c r="EI403" s="33"/>
      <c r="EJ403" s="33"/>
      <c r="EK403" s="33"/>
      <c r="EL403" s="33"/>
      <c r="EM403" s="33"/>
      <c r="EN403" s="33"/>
      <c r="EO403" s="33"/>
      <c r="EP403" s="33"/>
      <c r="EQ403" s="33"/>
      <c r="ER403" s="33"/>
      <c r="ES403" s="33"/>
      <c r="ET403" s="33"/>
      <c r="EU403" s="33"/>
      <c r="EV403" s="33"/>
      <c r="EW403" s="33"/>
      <c r="EX403" s="33"/>
      <c r="EY403" s="33"/>
    </row>
    <row r="404" spans="44:155" x14ac:dyDescent="0.3">
      <c r="AR404" s="1"/>
      <c r="AS404" s="1"/>
      <c r="AT404" s="1"/>
      <c r="AU404" s="1"/>
      <c r="AV404" s="1"/>
      <c r="AW404" s="1"/>
      <c r="DS404" s="33"/>
      <c r="DT404" s="33"/>
      <c r="DU404" s="33"/>
      <c r="DV404" s="33"/>
      <c r="DW404" s="33"/>
      <c r="DX404" s="33"/>
      <c r="DY404" s="33"/>
      <c r="DZ404" s="33"/>
      <c r="EA404" s="33"/>
      <c r="EB404" s="33"/>
      <c r="EC404" s="33"/>
      <c r="ED404" s="33"/>
      <c r="EE404" s="33"/>
      <c r="EF404" s="33"/>
      <c r="EG404" s="33"/>
      <c r="EH404" s="33"/>
      <c r="EI404" s="33"/>
      <c r="EJ404" s="33"/>
      <c r="EK404" s="33"/>
      <c r="EL404" s="33"/>
      <c r="EM404" s="33"/>
      <c r="EN404" s="33"/>
      <c r="EO404" s="33"/>
      <c r="EP404" s="33"/>
      <c r="EQ404" s="33"/>
      <c r="ER404" s="33"/>
      <c r="ES404" s="33"/>
      <c r="ET404" s="33"/>
      <c r="EU404" s="33"/>
      <c r="EV404" s="33"/>
      <c r="EW404" s="33"/>
      <c r="EX404" s="33"/>
      <c r="EY404" s="33"/>
    </row>
    <row r="405" spans="44:155" x14ac:dyDescent="0.3">
      <c r="AR405" s="1"/>
      <c r="AS405" s="1"/>
      <c r="AT405" s="1"/>
      <c r="AU405" s="1"/>
      <c r="AV405" s="1"/>
      <c r="AW405" s="1"/>
      <c r="DS405" s="33"/>
      <c r="DT405" s="33"/>
      <c r="DU405" s="33"/>
      <c r="DV405" s="33"/>
      <c r="DW405" s="33"/>
      <c r="DX405" s="33"/>
      <c r="DY405" s="33"/>
      <c r="DZ405" s="33"/>
      <c r="EA405" s="33"/>
      <c r="EB405" s="33"/>
      <c r="EC405" s="33"/>
      <c r="ED405" s="33"/>
      <c r="EE405" s="33"/>
      <c r="EF405" s="33"/>
      <c r="EG405" s="33"/>
      <c r="EH405" s="33"/>
      <c r="EI405" s="33"/>
      <c r="EJ405" s="33"/>
      <c r="EK405" s="33"/>
      <c r="EL405" s="33"/>
      <c r="EM405" s="33"/>
      <c r="EN405" s="33"/>
      <c r="EO405" s="33"/>
      <c r="EP405" s="33"/>
      <c r="EQ405" s="33"/>
      <c r="ER405" s="33"/>
      <c r="ES405" s="33"/>
      <c r="ET405" s="33"/>
      <c r="EU405" s="33"/>
      <c r="EV405" s="33"/>
      <c r="EW405" s="33"/>
      <c r="EX405" s="33"/>
      <c r="EY405" s="33"/>
    </row>
    <row r="406" spans="44:155" x14ac:dyDescent="0.3">
      <c r="AR406" s="1"/>
      <c r="AS406" s="1"/>
      <c r="AT406" s="1"/>
      <c r="AU406" s="1"/>
      <c r="AV406" s="1"/>
      <c r="AW406" s="1"/>
      <c r="DS406" s="33"/>
      <c r="DT406" s="33"/>
      <c r="DU406" s="33"/>
      <c r="DV406" s="33"/>
      <c r="DW406" s="33"/>
      <c r="DX406" s="33"/>
      <c r="DY406" s="33"/>
      <c r="DZ406" s="33"/>
      <c r="EA406" s="33"/>
      <c r="EB406" s="33"/>
      <c r="EC406" s="33"/>
      <c r="ED406" s="33"/>
      <c r="EE406" s="33"/>
      <c r="EF406" s="33"/>
      <c r="EG406" s="33"/>
      <c r="EH406" s="33"/>
      <c r="EI406" s="33"/>
      <c r="EJ406" s="33"/>
      <c r="EK406" s="33"/>
      <c r="EL406" s="33"/>
      <c r="EM406" s="33"/>
      <c r="EN406" s="33"/>
      <c r="EO406" s="33"/>
      <c r="EP406" s="33"/>
      <c r="EQ406" s="33"/>
      <c r="ER406" s="33"/>
      <c r="ES406" s="33"/>
      <c r="ET406" s="33"/>
      <c r="EU406" s="33"/>
      <c r="EV406" s="33"/>
      <c r="EW406" s="33"/>
      <c r="EX406" s="33"/>
      <c r="EY406" s="33"/>
    </row>
    <row r="407" spans="44:155" x14ac:dyDescent="0.3">
      <c r="AR407" s="1"/>
      <c r="AS407" s="1"/>
      <c r="AT407" s="1"/>
      <c r="AU407" s="1"/>
      <c r="AV407" s="1"/>
      <c r="AW407" s="1"/>
      <c r="DS407" s="33"/>
      <c r="DT407" s="33"/>
      <c r="DU407" s="33"/>
      <c r="DV407" s="33"/>
      <c r="DW407" s="33"/>
      <c r="DX407" s="33"/>
      <c r="DY407" s="33"/>
      <c r="DZ407" s="33"/>
      <c r="EA407" s="33"/>
      <c r="EB407" s="33"/>
      <c r="EC407" s="33"/>
      <c r="ED407" s="33"/>
      <c r="EE407" s="33"/>
      <c r="EF407" s="33"/>
      <c r="EG407" s="33"/>
      <c r="EH407" s="33"/>
      <c r="EI407" s="33"/>
      <c r="EJ407" s="33"/>
      <c r="EK407" s="33"/>
      <c r="EL407" s="33"/>
      <c r="EM407" s="33"/>
      <c r="EN407" s="33"/>
      <c r="EO407" s="33"/>
      <c r="EP407" s="33"/>
      <c r="EQ407" s="33"/>
      <c r="ER407" s="33"/>
      <c r="ES407" s="33"/>
      <c r="ET407" s="33"/>
      <c r="EU407" s="33"/>
      <c r="EV407" s="33"/>
      <c r="EW407" s="33"/>
      <c r="EX407" s="33"/>
      <c r="EY407" s="33"/>
    </row>
    <row r="408" spans="44:155" x14ac:dyDescent="0.3">
      <c r="AR408" s="1"/>
      <c r="AS408" s="1"/>
      <c r="AT408" s="1"/>
      <c r="AU408" s="1"/>
      <c r="AV408" s="1"/>
      <c r="AW408" s="1"/>
      <c r="DS408" s="33"/>
      <c r="DT408" s="33"/>
      <c r="DU408" s="33"/>
      <c r="DV408" s="33"/>
      <c r="DW408" s="33"/>
      <c r="DX408" s="33"/>
      <c r="DY408" s="33"/>
      <c r="DZ408" s="33"/>
      <c r="EA408" s="33"/>
      <c r="EB408" s="33"/>
      <c r="EC408" s="33"/>
      <c r="ED408" s="33"/>
      <c r="EE408" s="33"/>
      <c r="EF408" s="33"/>
      <c r="EG408" s="33"/>
      <c r="EH408" s="33"/>
      <c r="EI408" s="33"/>
      <c r="EJ408" s="33"/>
      <c r="EK408" s="33"/>
      <c r="EL408" s="33"/>
      <c r="EM408" s="33"/>
      <c r="EN408" s="33"/>
      <c r="EO408" s="33"/>
      <c r="EP408" s="33"/>
      <c r="EQ408" s="33"/>
      <c r="ER408" s="33"/>
      <c r="ES408" s="33"/>
      <c r="ET408" s="33"/>
      <c r="EU408" s="33"/>
      <c r="EV408" s="33"/>
      <c r="EW408" s="33"/>
      <c r="EX408" s="33"/>
      <c r="EY408" s="33"/>
    </row>
    <row r="409" spans="44:155" x14ac:dyDescent="0.3">
      <c r="AR409" s="1"/>
      <c r="AS409" s="1"/>
      <c r="AT409" s="1"/>
      <c r="AU409" s="1"/>
      <c r="AV409" s="1"/>
      <c r="AW409" s="1"/>
      <c r="DS409" s="33"/>
      <c r="DT409" s="33"/>
      <c r="DU409" s="33"/>
      <c r="DV409" s="33"/>
      <c r="DW409" s="33"/>
      <c r="DX409" s="33"/>
      <c r="DY409" s="33"/>
      <c r="DZ409" s="33"/>
      <c r="EA409" s="33"/>
      <c r="EB409" s="33"/>
      <c r="EC409" s="33"/>
      <c r="ED409" s="33"/>
      <c r="EE409" s="33"/>
      <c r="EF409" s="33"/>
      <c r="EG409" s="33"/>
      <c r="EH409" s="33"/>
      <c r="EI409" s="33"/>
      <c r="EJ409" s="33"/>
      <c r="EK409" s="33"/>
      <c r="EL409" s="33"/>
      <c r="EM409" s="33"/>
      <c r="EN409" s="33"/>
      <c r="EO409" s="33"/>
      <c r="EP409" s="33"/>
      <c r="EQ409" s="33"/>
      <c r="ER409" s="33"/>
      <c r="ES409" s="33"/>
      <c r="ET409" s="33"/>
      <c r="EU409" s="33"/>
      <c r="EV409" s="33"/>
      <c r="EW409" s="33"/>
      <c r="EX409" s="33"/>
      <c r="EY409" s="33"/>
    </row>
    <row r="410" spans="44:155" x14ac:dyDescent="0.3">
      <c r="AR410" s="1"/>
      <c r="AS410" s="1"/>
      <c r="AT410" s="1"/>
      <c r="AU410" s="1"/>
      <c r="AV410" s="1"/>
      <c r="AW410" s="1"/>
      <c r="DS410" s="33"/>
      <c r="DT410" s="33"/>
      <c r="DU410" s="33"/>
      <c r="DV410" s="33"/>
      <c r="DW410" s="33"/>
      <c r="DX410" s="33"/>
      <c r="DY410" s="33"/>
      <c r="DZ410" s="33"/>
      <c r="EA410" s="33"/>
      <c r="EB410" s="33"/>
      <c r="EC410" s="33"/>
      <c r="ED410" s="33"/>
      <c r="EE410" s="33"/>
      <c r="EF410" s="33"/>
      <c r="EG410" s="33"/>
      <c r="EH410" s="33"/>
      <c r="EI410" s="33"/>
      <c r="EJ410" s="33"/>
      <c r="EK410" s="33"/>
      <c r="EL410" s="33"/>
      <c r="EM410" s="33"/>
      <c r="EN410" s="33"/>
      <c r="EO410" s="33"/>
      <c r="EP410" s="33"/>
      <c r="EQ410" s="33"/>
      <c r="ER410" s="33"/>
      <c r="ES410" s="33"/>
      <c r="ET410" s="33"/>
      <c r="EU410" s="33"/>
      <c r="EV410" s="33"/>
      <c r="EW410" s="33"/>
      <c r="EX410" s="33"/>
      <c r="EY410" s="33"/>
    </row>
    <row r="411" spans="44:155" x14ac:dyDescent="0.3">
      <c r="AR411" s="1"/>
      <c r="AS411" s="1"/>
      <c r="AT411" s="1"/>
      <c r="AU411" s="1"/>
      <c r="AV411" s="1"/>
      <c r="AW411" s="1"/>
      <c r="DS411" s="33"/>
      <c r="DT411" s="33"/>
      <c r="DU411" s="33"/>
      <c r="DV411" s="33"/>
      <c r="DW411" s="33"/>
      <c r="DX411" s="33"/>
      <c r="DY411" s="33"/>
      <c r="DZ411" s="33"/>
      <c r="EA411" s="33"/>
      <c r="EB411" s="33"/>
      <c r="EC411" s="33"/>
      <c r="ED411" s="33"/>
      <c r="EE411" s="33"/>
      <c r="EF411" s="33"/>
      <c r="EG411" s="33"/>
      <c r="EH411" s="33"/>
      <c r="EI411" s="33"/>
      <c r="EJ411" s="33"/>
      <c r="EK411" s="33"/>
      <c r="EL411" s="33"/>
      <c r="EM411" s="33"/>
      <c r="EN411" s="33"/>
      <c r="EO411" s="33"/>
      <c r="EP411" s="33"/>
      <c r="EQ411" s="33"/>
      <c r="ER411" s="33"/>
      <c r="ES411" s="33"/>
      <c r="ET411" s="33"/>
      <c r="EU411" s="33"/>
      <c r="EV411" s="33"/>
      <c r="EW411" s="33"/>
      <c r="EX411" s="33"/>
      <c r="EY411" s="33"/>
    </row>
    <row r="412" spans="44:155" x14ac:dyDescent="0.3">
      <c r="AR412" s="1"/>
      <c r="AS412" s="1"/>
      <c r="AT412" s="1"/>
      <c r="AU412" s="1"/>
      <c r="AV412" s="1"/>
      <c r="AW412" s="1"/>
      <c r="DS412" s="33"/>
      <c r="DT412" s="33"/>
      <c r="DU412" s="33"/>
      <c r="DV412" s="33"/>
      <c r="DW412" s="33"/>
      <c r="DX412" s="33"/>
      <c r="DY412" s="33"/>
      <c r="DZ412" s="33"/>
      <c r="EA412" s="33"/>
      <c r="EB412" s="33"/>
      <c r="EC412" s="33"/>
      <c r="ED412" s="33"/>
      <c r="EE412" s="33"/>
      <c r="EF412" s="33"/>
      <c r="EG412" s="33"/>
      <c r="EH412" s="33"/>
      <c r="EI412" s="33"/>
      <c r="EJ412" s="33"/>
      <c r="EK412" s="33"/>
      <c r="EL412" s="33"/>
      <c r="EM412" s="33"/>
      <c r="EN412" s="33"/>
      <c r="EO412" s="33"/>
      <c r="EP412" s="33"/>
      <c r="EQ412" s="33"/>
      <c r="ER412" s="33"/>
      <c r="ES412" s="33"/>
      <c r="ET412" s="33"/>
      <c r="EU412" s="33"/>
      <c r="EV412" s="33"/>
      <c r="EW412" s="33"/>
      <c r="EX412" s="33"/>
      <c r="EY412" s="33"/>
    </row>
    <row r="413" spans="44:155" x14ac:dyDescent="0.3">
      <c r="AR413" s="1"/>
      <c r="AS413" s="1"/>
      <c r="AT413" s="1"/>
      <c r="AU413" s="1"/>
      <c r="AV413" s="1"/>
      <c r="AW413" s="1"/>
      <c r="DS413" s="33"/>
      <c r="DT413" s="33"/>
      <c r="DU413" s="33"/>
      <c r="DV413" s="33"/>
      <c r="DW413" s="33"/>
      <c r="DX413" s="33"/>
      <c r="DY413" s="33"/>
      <c r="DZ413" s="33"/>
      <c r="EA413" s="33"/>
      <c r="EB413" s="33"/>
      <c r="EC413" s="33"/>
      <c r="ED413" s="33"/>
      <c r="EE413" s="33"/>
      <c r="EF413" s="33"/>
      <c r="EG413" s="33"/>
      <c r="EH413" s="33"/>
      <c r="EI413" s="33"/>
      <c r="EJ413" s="33"/>
      <c r="EK413" s="33"/>
      <c r="EL413" s="33"/>
      <c r="EM413" s="33"/>
      <c r="EN413" s="33"/>
      <c r="EO413" s="33"/>
      <c r="EP413" s="33"/>
      <c r="EQ413" s="33"/>
      <c r="ER413" s="33"/>
      <c r="ES413" s="33"/>
      <c r="ET413" s="33"/>
      <c r="EU413" s="33"/>
      <c r="EV413" s="33"/>
      <c r="EW413" s="33"/>
      <c r="EX413" s="33"/>
      <c r="EY413" s="33"/>
    </row>
    <row r="414" spans="44:155" x14ac:dyDescent="0.3">
      <c r="AR414" s="1"/>
      <c r="AS414" s="1"/>
      <c r="AT414" s="1"/>
      <c r="AU414" s="1"/>
      <c r="AV414" s="1"/>
      <c r="AW414" s="1"/>
      <c r="DS414" s="33"/>
      <c r="DT414" s="33"/>
      <c r="DU414" s="33"/>
      <c r="DV414" s="33"/>
      <c r="DW414" s="33"/>
      <c r="DX414" s="33"/>
      <c r="DY414" s="33"/>
      <c r="DZ414" s="33"/>
      <c r="EA414" s="33"/>
      <c r="EB414" s="33"/>
      <c r="EC414" s="33"/>
      <c r="ED414" s="33"/>
      <c r="EE414" s="33"/>
      <c r="EF414" s="33"/>
      <c r="EG414" s="33"/>
      <c r="EH414" s="33"/>
      <c r="EI414" s="33"/>
      <c r="EJ414" s="33"/>
      <c r="EK414" s="33"/>
      <c r="EL414" s="33"/>
      <c r="EM414" s="33"/>
      <c r="EN414" s="33"/>
      <c r="EO414" s="33"/>
      <c r="EP414" s="33"/>
      <c r="EQ414" s="33"/>
      <c r="ER414" s="33"/>
      <c r="ES414" s="33"/>
      <c r="ET414" s="33"/>
      <c r="EU414" s="33"/>
      <c r="EV414" s="33"/>
      <c r="EW414" s="33"/>
      <c r="EX414" s="33"/>
      <c r="EY414" s="33"/>
    </row>
    <row r="415" spans="44:155" x14ac:dyDescent="0.3">
      <c r="AR415" s="1"/>
      <c r="AS415" s="1"/>
      <c r="AT415" s="1"/>
      <c r="AU415" s="1"/>
      <c r="AV415" s="1"/>
      <c r="AW415" s="1"/>
      <c r="DS415" s="33"/>
      <c r="DT415" s="33"/>
      <c r="DU415" s="33"/>
      <c r="DV415" s="33"/>
      <c r="DW415" s="33"/>
      <c r="DX415" s="33"/>
      <c r="DY415" s="33"/>
      <c r="DZ415" s="33"/>
      <c r="EA415" s="33"/>
      <c r="EB415" s="33"/>
      <c r="EC415" s="33"/>
      <c r="ED415" s="33"/>
      <c r="EE415" s="33"/>
      <c r="EF415" s="33"/>
      <c r="EG415" s="33"/>
      <c r="EH415" s="33"/>
      <c r="EI415" s="33"/>
      <c r="EJ415" s="33"/>
      <c r="EK415" s="33"/>
      <c r="EL415" s="33"/>
      <c r="EM415" s="33"/>
      <c r="EN415" s="33"/>
      <c r="EO415" s="33"/>
      <c r="EP415" s="33"/>
      <c r="EQ415" s="33"/>
      <c r="ER415" s="33"/>
      <c r="ES415" s="33"/>
      <c r="ET415" s="33"/>
      <c r="EU415" s="33"/>
      <c r="EV415" s="33"/>
      <c r="EW415" s="33"/>
      <c r="EX415" s="33"/>
      <c r="EY415" s="33"/>
    </row>
    <row r="416" spans="44:155" x14ac:dyDescent="0.3">
      <c r="AR416" s="1"/>
      <c r="AS416" s="1"/>
      <c r="AT416" s="1"/>
      <c r="AU416" s="1"/>
      <c r="AV416" s="1"/>
      <c r="AW416" s="1"/>
      <c r="DS416" s="33"/>
      <c r="DT416" s="33"/>
      <c r="DU416" s="33"/>
      <c r="DV416" s="33"/>
      <c r="DW416" s="33"/>
      <c r="DX416" s="33"/>
      <c r="DY416" s="33"/>
      <c r="DZ416" s="33"/>
      <c r="EA416" s="33"/>
      <c r="EB416" s="33"/>
      <c r="EC416" s="33"/>
      <c r="ED416" s="33"/>
      <c r="EE416" s="33"/>
      <c r="EF416" s="33"/>
      <c r="EG416" s="33"/>
      <c r="EH416" s="33"/>
      <c r="EI416" s="33"/>
      <c r="EJ416" s="33"/>
      <c r="EK416" s="33"/>
      <c r="EL416" s="33"/>
      <c r="EM416" s="33"/>
      <c r="EN416" s="33"/>
      <c r="EO416" s="33"/>
      <c r="EP416" s="33"/>
      <c r="EQ416" s="33"/>
      <c r="ER416" s="33"/>
      <c r="ES416" s="33"/>
      <c r="ET416" s="33"/>
      <c r="EU416" s="33"/>
      <c r="EV416" s="33"/>
      <c r="EW416" s="33"/>
      <c r="EX416" s="33"/>
      <c r="EY416" s="33"/>
    </row>
    <row r="417" spans="44:155" x14ac:dyDescent="0.3">
      <c r="AR417" s="1"/>
      <c r="AS417" s="1"/>
      <c r="AT417" s="1"/>
      <c r="AU417" s="1"/>
      <c r="AV417" s="1"/>
      <c r="AW417" s="1"/>
      <c r="DS417" s="33"/>
      <c r="DT417" s="33"/>
      <c r="DU417" s="33"/>
      <c r="DV417" s="33"/>
      <c r="DW417" s="33"/>
      <c r="DX417" s="33"/>
      <c r="DY417" s="33"/>
      <c r="DZ417" s="33"/>
      <c r="EA417" s="33"/>
      <c r="EB417" s="33"/>
      <c r="EC417" s="33"/>
      <c r="ED417" s="33"/>
      <c r="EE417" s="33"/>
      <c r="EF417" s="33"/>
      <c r="EG417" s="33"/>
      <c r="EH417" s="33"/>
      <c r="EI417" s="33"/>
      <c r="EJ417" s="33"/>
      <c r="EK417" s="33"/>
      <c r="EL417" s="33"/>
      <c r="EM417" s="33"/>
      <c r="EN417" s="33"/>
      <c r="EO417" s="33"/>
      <c r="EP417" s="33"/>
      <c r="EQ417" s="33"/>
      <c r="ER417" s="33"/>
      <c r="ES417" s="33"/>
      <c r="ET417" s="33"/>
      <c r="EU417" s="33"/>
      <c r="EV417" s="33"/>
      <c r="EW417" s="33"/>
      <c r="EX417" s="33"/>
      <c r="EY417" s="33"/>
    </row>
    <row r="418" spans="44:155" x14ac:dyDescent="0.3">
      <c r="AR418" s="1"/>
      <c r="AS418" s="1"/>
      <c r="AT418" s="1"/>
      <c r="AU418" s="1"/>
      <c r="AV418" s="1"/>
      <c r="AW418" s="1"/>
      <c r="DS418" s="33"/>
      <c r="DT418" s="33"/>
      <c r="DU418" s="33"/>
      <c r="DV418" s="33"/>
      <c r="DW418" s="33"/>
      <c r="DX418" s="33"/>
      <c r="DY418" s="33"/>
      <c r="DZ418" s="33"/>
      <c r="EA418" s="33"/>
      <c r="EB418" s="33"/>
      <c r="EC418" s="33"/>
      <c r="ED418" s="33"/>
      <c r="EE418" s="33"/>
      <c r="EF418" s="33"/>
      <c r="EG418" s="33"/>
      <c r="EH418" s="33"/>
      <c r="EI418" s="33"/>
      <c r="EJ418" s="33"/>
      <c r="EK418" s="33"/>
      <c r="EL418" s="33"/>
      <c r="EM418" s="33"/>
      <c r="EN418" s="33"/>
      <c r="EO418" s="33"/>
      <c r="EP418" s="33"/>
      <c r="EQ418" s="33"/>
      <c r="ER418" s="33"/>
      <c r="ES418" s="33"/>
      <c r="ET418" s="33"/>
      <c r="EU418" s="33"/>
      <c r="EV418" s="33"/>
      <c r="EW418" s="33"/>
      <c r="EX418" s="33"/>
      <c r="EY418" s="33"/>
    </row>
    <row r="419" spans="44:155" x14ac:dyDescent="0.3">
      <c r="AR419" s="1"/>
      <c r="AS419" s="1"/>
      <c r="AT419" s="1"/>
      <c r="AU419" s="1"/>
      <c r="AV419" s="1"/>
      <c r="AW419" s="1"/>
      <c r="DS419" s="33"/>
      <c r="DT419" s="33"/>
      <c r="DU419" s="33"/>
      <c r="DV419" s="33"/>
      <c r="DW419" s="33"/>
      <c r="DX419" s="33"/>
      <c r="DY419" s="33"/>
      <c r="DZ419" s="33"/>
      <c r="EA419" s="33"/>
      <c r="EB419" s="33"/>
      <c r="EC419" s="33"/>
      <c r="ED419" s="33"/>
      <c r="EE419" s="33"/>
      <c r="EF419" s="33"/>
      <c r="EG419" s="33"/>
      <c r="EH419" s="33"/>
      <c r="EI419" s="33"/>
      <c r="EJ419" s="33"/>
      <c r="EK419" s="33"/>
      <c r="EL419" s="33"/>
      <c r="EM419" s="33"/>
      <c r="EN419" s="33"/>
      <c r="EO419" s="33"/>
      <c r="EP419" s="33"/>
      <c r="EQ419" s="33"/>
      <c r="ER419" s="33"/>
      <c r="ES419" s="33"/>
      <c r="ET419" s="33"/>
      <c r="EU419" s="33"/>
      <c r="EV419" s="33"/>
      <c r="EW419" s="33"/>
      <c r="EX419" s="33"/>
      <c r="EY419" s="33"/>
    </row>
    <row r="420" spans="44:155" x14ac:dyDescent="0.3">
      <c r="AR420" s="1"/>
      <c r="AS420" s="1"/>
      <c r="AT420" s="1"/>
      <c r="AU420" s="1"/>
      <c r="AV420" s="1"/>
      <c r="AW420" s="1"/>
      <c r="DS420" s="33"/>
      <c r="DT420" s="33"/>
      <c r="DU420" s="33"/>
      <c r="DV420" s="33"/>
      <c r="DW420" s="33"/>
      <c r="DX420" s="33"/>
      <c r="DY420" s="33"/>
      <c r="DZ420" s="33"/>
      <c r="EA420" s="33"/>
      <c r="EB420" s="33"/>
      <c r="EC420" s="33"/>
      <c r="ED420" s="33"/>
      <c r="EE420" s="33"/>
      <c r="EF420" s="33"/>
      <c r="EG420" s="33"/>
      <c r="EH420" s="33"/>
      <c r="EI420" s="33"/>
      <c r="EJ420" s="33"/>
      <c r="EK420" s="33"/>
      <c r="EL420" s="33"/>
      <c r="EM420" s="33"/>
      <c r="EN420" s="33"/>
      <c r="EO420" s="33"/>
      <c r="EP420" s="33"/>
      <c r="EQ420" s="33"/>
      <c r="ER420" s="33"/>
      <c r="ES420" s="33"/>
      <c r="ET420" s="33"/>
      <c r="EU420" s="33"/>
      <c r="EV420" s="33"/>
      <c r="EW420" s="33"/>
      <c r="EX420" s="33"/>
      <c r="EY420" s="33"/>
    </row>
    <row r="421" spans="44:155" x14ac:dyDescent="0.3">
      <c r="AR421" s="1"/>
      <c r="AS421" s="1"/>
      <c r="AT421" s="1"/>
      <c r="AU421" s="1"/>
      <c r="AV421" s="1"/>
      <c r="AW421" s="1"/>
      <c r="DS421" s="33"/>
      <c r="DT421" s="33"/>
      <c r="DU421" s="33"/>
      <c r="DV421" s="33"/>
      <c r="DW421" s="33"/>
      <c r="DX421" s="33"/>
      <c r="DY421" s="33"/>
      <c r="DZ421" s="33"/>
      <c r="EA421" s="33"/>
      <c r="EB421" s="33"/>
      <c r="EC421" s="33"/>
      <c r="ED421" s="33"/>
      <c r="EE421" s="33"/>
      <c r="EF421" s="33"/>
      <c r="EG421" s="33"/>
      <c r="EH421" s="33"/>
      <c r="EI421" s="33"/>
      <c r="EJ421" s="33"/>
      <c r="EK421" s="33"/>
      <c r="EL421" s="33"/>
      <c r="EM421" s="33"/>
      <c r="EN421" s="33"/>
      <c r="EO421" s="33"/>
      <c r="EP421" s="33"/>
      <c r="EQ421" s="33"/>
      <c r="ER421" s="33"/>
      <c r="ES421" s="33"/>
      <c r="ET421" s="33"/>
      <c r="EU421" s="33"/>
      <c r="EV421" s="33"/>
      <c r="EW421" s="33"/>
      <c r="EX421" s="33"/>
      <c r="EY421" s="33"/>
    </row>
    <row r="422" spans="44:155" x14ac:dyDescent="0.3">
      <c r="AR422" s="1"/>
      <c r="AS422" s="1"/>
      <c r="AT422" s="1"/>
      <c r="AU422" s="1"/>
      <c r="AV422" s="1"/>
      <c r="AW422" s="1"/>
      <c r="DS422" s="33"/>
      <c r="DT422" s="33"/>
      <c r="DU422" s="33"/>
      <c r="DV422" s="33"/>
      <c r="DW422" s="33"/>
      <c r="DX422" s="33"/>
      <c r="DY422" s="33"/>
      <c r="DZ422" s="33"/>
      <c r="EA422" s="33"/>
      <c r="EB422" s="33"/>
      <c r="EC422" s="33"/>
      <c r="ED422" s="33"/>
      <c r="EE422" s="33"/>
      <c r="EF422" s="33"/>
      <c r="EG422" s="33"/>
      <c r="EH422" s="33"/>
      <c r="EI422" s="33"/>
      <c r="EJ422" s="33"/>
      <c r="EK422" s="33"/>
      <c r="EL422" s="33"/>
      <c r="EM422" s="33"/>
      <c r="EN422" s="33"/>
      <c r="EO422" s="33"/>
      <c r="EP422" s="33"/>
      <c r="EQ422" s="33"/>
      <c r="ER422" s="33"/>
      <c r="ES422" s="33"/>
      <c r="ET422" s="33"/>
      <c r="EU422" s="33"/>
      <c r="EV422" s="33"/>
      <c r="EW422" s="33"/>
      <c r="EX422" s="33"/>
      <c r="EY422" s="33"/>
    </row>
    <row r="423" spans="44:155" x14ac:dyDescent="0.3">
      <c r="AR423" s="1"/>
      <c r="AS423" s="1"/>
      <c r="AT423" s="1"/>
      <c r="AU423" s="1"/>
      <c r="AV423" s="1"/>
      <c r="AW423" s="1"/>
      <c r="DS423" s="33"/>
      <c r="DT423" s="33"/>
      <c r="DU423" s="33"/>
      <c r="DV423" s="33"/>
      <c r="DW423" s="33"/>
      <c r="DX423" s="33"/>
      <c r="DY423" s="33"/>
      <c r="DZ423" s="33"/>
      <c r="EA423" s="33"/>
      <c r="EB423" s="33"/>
      <c r="EC423" s="33"/>
      <c r="ED423" s="33"/>
      <c r="EE423" s="33"/>
      <c r="EF423" s="33"/>
      <c r="EG423" s="33"/>
      <c r="EH423" s="33"/>
      <c r="EI423" s="33"/>
      <c r="EJ423" s="33"/>
      <c r="EK423" s="33"/>
      <c r="EL423" s="33"/>
      <c r="EM423" s="33"/>
      <c r="EN423" s="33"/>
      <c r="EO423" s="33"/>
      <c r="EP423" s="33"/>
      <c r="EQ423" s="33"/>
      <c r="ER423" s="33"/>
      <c r="ES423" s="33"/>
      <c r="ET423" s="33"/>
      <c r="EU423" s="33"/>
      <c r="EV423" s="33"/>
      <c r="EW423" s="33"/>
      <c r="EX423" s="33"/>
      <c r="EY423" s="33"/>
    </row>
    <row r="424" spans="44:155" x14ac:dyDescent="0.3">
      <c r="AR424" s="1"/>
      <c r="AS424" s="1"/>
      <c r="AT424" s="1"/>
      <c r="AU424" s="1"/>
      <c r="AV424" s="1"/>
      <c r="AW424" s="1"/>
      <c r="DS424" s="33"/>
      <c r="DT424" s="33"/>
      <c r="DU424" s="33"/>
      <c r="DV424" s="33"/>
      <c r="DW424" s="33"/>
      <c r="DX424" s="33"/>
      <c r="DY424" s="33"/>
      <c r="DZ424" s="33"/>
      <c r="EA424" s="33"/>
      <c r="EB424" s="33"/>
      <c r="EC424" s="33"/>
      <c r="ED424" s="33"/>
      <c r="EE424" s="33"/>
      <c r="EF424" s="33"/>
      <c r="EG424" s="33"/>
      <c r="EH424" s="33"/>
      <c r="EI424" s="33"/>
      <c r="EJ424" s="33"/>
      <c r="EK424" s="33"/>
      <c r="EL424" s="33"/>
      <c r="EM424" s="33"/>
      <c r="EN424" s="33"/>
      <c r="EO424" s="33"/>
      <c r="EP424" s="33"/>
      <c r="EQ424" s="33"/>
      <c r="ER424" s="33"/>
      <c r="ES424" s="33"/>
      <c r="ET424" s="33"/>
      <c r="EU424" s="33"/>
      <c r="EV424" s="33"/>
      <c r="EW424" s="33"/>
      <c r="EX424" s="33"/>
      <c r="EY424" s="33"/>
    </row>
    <row r="425" spans="44:155" x14ac:dyDescent="0.3">
      <c r="AR425" s="1"/>
      <c r="AS425" s="1"/>
      <c r="AT425" s="1"/>
      <c r="AU425" s="1"/>
      <c r="AV425" s="1"/>
      <c r="AW425" s="1"/>
      <c r="DS425" s="33"/>
      <c r="DT425" s="33"/>
      <c r="DU425" s="33"/>
      <c r="DV425" s="33"/>
      <c r="DW425" s="33"/>
      <c r="DX425" s="33"/>
      <c r="DY425" s="33"/>
      <c r="DZ425" s="33"/>
      <c r="EA425" s="33"/>
      <c r="EB425" s="33"/>
      <c r="EC425" s="33"/>
      <c r="ED425" s="33"/>
      <c r="EE425" s="33"/>
      <c r="EF425" s="33"/>
      <c r="EG425" s="33"/>
      <c r="EH425" s="33"/>
      <c r="EI425" s="33"/>
      <c r="EJ425" s="33"/>
      <c r="EK425" s="33"/>
      <c r="EL425" s="33"/>
      <c r="EM425" s="33"/>
      <c r="EN425" s="33"/>
      <c r="EO425" s="33"/>
      <c r="EP425" s="33"/>
      <c r="EQ425" s="33"/>
      <c r="ER425" s="33"/>
      <c r="ES425" s="33"/>
      <c r="ET425" s="33"/>
      <c r="EU425" s="33"/>
      <c r="EV425" s="33"/>
      <c r="EW425" s="33"/>
      <c r="EX425" s="33"/>
      <c r="EY425" s="33"/>
    </row>
    <row r="426" spans="44:155" x14ac:dyDescent="0.3">
      <c r="AR426" s="1"/>
      <c r="AS426" s="1"/>
      <c r="AT426" s="1"/>
      <c r="AU426" s="1"/>
      <c r="AV426" s="1"/>
      <c r="AW426" s="1"/>
      <c r="DS426" s="33"/>
      <c r="DT426" s="33"/>
      <c r="DU426" s="33"/>
      <c r="DV426" s="33"/>
      <c r="DW426" s="33"/>
      <c r="DX426" s="33"/>
      <c r="DY426" s="33"/>
      <c r="DZ426" s="33"/>
      <c r="EA426" s="33"/>
      <c r="EB426" s="33"/>
      <c r="EC426" s="33"/>
      <c r="ED426" s="33"/>
      <c r="EE426" s="33"/>
      <c r="EF426" s="33"/>
      <c r="EG426" s="33"/>
      <c r="EH426" s="33"/>
      <c r="EI426" s="33"/>
      <c r="EJ426" s="33"/>
      <c r="EK426" s="33"/>
      <c r="EL426" s="33"/>
      <c r="EM426" s="33"/>
      <c r="EN426" s="33"/>
      <c r="EO426" s="33"/>
      <c r="EP426" s="33"/>
      <c r="EQ426" s="33"/>
      <c r="ER426" s="33"/>
      <c r="ES426" s="33"/>
      <c r="ET426" s="33"/>
      <c r="EU426" s="33"/>
      <c r="EV426" s="33"/>
      <c r="EW426" s="33"/>
      <c r="EX426" s="33"/>
      <c r="EY426" s="33"/>
    </row>
    <row r="427" spans="44:155" x14ac:dyDescent="0.3">
      <c r="AR427" s="1"/>
      <c r="AS427" s="1"/>
      <c r="AT427" s="1"/>
      <c r="AU427" s="1"/>
      <c r="AV427" s="1"/>
      <c r="AW427" s="1"/>
      <c r="DS427" s="33"/>
      <c r="DT427" s="33"/>
      <c r="DU427" s="33"/>
      <c r="DV427" s="33"/>
      <c r="DW427" s="33"/>
      <c r="DX427" s="33"/>
      <c r="DY427" s="33"/>
      <c r="DZ427" s="33"/>
      <c r="EA427" s="33"/>
      <c r="EB427" s="33"/>
      <c r="EC427" s="33"/>
      <c r="ED427" s="33"/>
      <c r="EE427" s="33"/>
      <c r="EF427" s="33"/>
      <c r="EG427" s="33"/>
      <c r="EH427" s="33"/>
      <c r="EI427" s="33"/>
      <c r="EJ427" s="33"/>
      <c r="EK427" s="33"/>
      <c r="EL427" s="33"/>
      <c r="EM427" s="33"/>
      <c r="EN427" s="33"/>
      <c r="EO427" s="33"/>
      <c r="EP427" s="33"/>
      <c r="EQ427" s="33"/>
      <c r="ER427" s="33"/>
      <c r="ES427" s="33"/>
      <c r="ET427" s="33"/>
      <c r="EU427" s="33"/>
      <c r="EV427" s="33"/>
      <c r="EW427" s="33"/>
      <c r="EX427" s="33"/>
      <c r="EY427" s="33"/>
    </row>
    <row r="428" spans="44:155" x14ac:dyDescent="0.3">
      <c r="AR428" s="1"/>
      <c r="AS428" s="1"/>
      <c r="AT428" s="1"/>
      <c r="AU428" s="1"/>
      <c r="AV428" s="1"/>
      <c r="AW428" s="1"/>
      <c r="DS428" s="33"/>
      <c r="DT428" s="33"/>
      <c r="DU428" s="33"/>
      <c r="DV428" s="33"/>
      <c r="DW428" s="33"/>
      <c r="DX428" s="33"/>
      <c r="DY428" s="33"/>
      <c r="DZ428" s="33"/>
      <c r="EA428" s="33"/>
      <c r="EB428" s="33"/>
      <c r="EC428" s="33"/>
      <c r="ED428" s="33"/>
      <c r="EE428" s="33"/>
      <c r="EF428" s="33"/>
      <c r="EG428" s="33"/>
      <c r="EH428" s="33"/>
      <c r="EI428" s="33"/>
      <c r="EJ428" s="33"/>
      <c r="EK428" s="33"/>
      <c r="EL428" s="33"/>
      <c r="EM428" s="33"/>
      <c r="EN428" s="33"/>
      <c r="EO428" s="33"/>
      <c r="EP428" s="33"/>
      <c r="EQ428" s="33"/>
      <c r="ER428" s="33"/>
      <c r="ES428" s="33"/>
      <c r="ET428" s="33"/>
      <c r="EU428" s="33"/>
      <c r="EV428" s="33"/>
      <c r="EW428" s="33"/>
      <c r="EX428" s="33"/>
      <c r="EY428" s="33"/>
    </row>
    <row r="429" spans="44:155" x14ac:dyDescent="0.3">
      <c r="AR429" s="1"/>
      <c r="AS429" s="1"/>
      <c r="AT429" s="1"/>
      <c r="AU429" s="1"/>
      <c r="AV429" s="1"/>
      <c r="AW429" s="1"/>
      <c r="DS429" s="33"/>
      <c r="DT429" s="33"/>
      <c r="DU429" s="33"/>
      <c r="DV429" s="33"/>
      <c r="DW429" s="33"/>
      <c r="DX429" s="33"/>
      <c r="DY429" s="33"/>
      <c r="DZ429" s="33"/>
      <c r="EA429" s="33"/>
      <c r="EB429" s="33"/>
      <c r="EC429" s="33"/>
      <c r="ED429" s="33"/>
      <c r="EE429" s="33"/>
      <c r="EF429" s="33"/>
      <c r="EG429" s="33"/>
      <c r="EH429" s="33"/>
      <c r="EI429" s="33"/>
      <c r="EJ429" s="33"/>
      <c r="EK429" s="33"/>
      <c r="EL429" s="33"/>
      <c r="EM429" s="33"/>
      <c r="EN429" s="33"/>
      <c r="EO429" s="33"/>
      <c r="EP429" s="33"/>
      <c r="EQ429" s="33"/>
      <c r="ER429" s="33"/>
      <c r="ES429" s="33"/>
      <c r="ET429" s="33"/>
      <c r="EU429" s="33"/>
      <c r="EV429" s="33"/>
      <c r="EW429" s="33"/>
      <c r="EX429" s="33"/>
      <c r="EY429" s="33"/>
    </row>
    <row r="430" spans="44:155" x14ac:dyDescent="0.3">
      <c r="AR430" s="1"/>
      <c r="AS430" s="1"/>
      <c r="AT430" s="1"/>
      <c r="AU430" s="1"/>
      <c r="AV430" s="1"/>
      <c r="AW430" s="1"/>
      <c r="DS430" s="33"/>
      <c r="DT430" s="33"/>
      <c r="DU430" s="33"/>
      <c r="DV430" s="33"/>
      <c r="DW430" s="33"/>
      <c r="DX430" s="33"/>
      <c r="DY430" s="33"/>
      <c r="DZ430" s="33"/>
      <c r="EA430" s="33"/>
      <c r="EB430" s="33"/>
      <c r="EC430" s="33"/>
      <c r="ED430" s="33"/>
      <c r="EE430" s="33"/>
      <c r="EF430" s="33"/>
      <c r="EG430" s="33"/>
      <c r="EH430" s="33"/>
      <c r="EI430" s="33"/>
      <c r="EJ430" s="33"/>
      <c r="EK430" s="33"/>
      <c r="EL430" s="33"/>
      <c r="EM430" s="33"/>
      <c r="EN430" s="33"/>
      <c r="EO430" s="33"/>
      <c r="EP430" s="33"/>
      <c r="EQ430" s="33"/>
      <c r="ER430" s="33"/>
      <c r="ES430" s="33"/>
      <c r="ET430" s="33"/>
      <c r="EU430" s="33"/>
      <c r="EV430" s="33"/>
      <c r="EW430" s="33"/>
      <c r="EX430" s="33"/>
      <c r="EY430" s="33"/>
    </row>
    <row r="431" spans="44:155" x14ac:dyDescent="0.3">
      <c r="AR431" s="1"/>
      <c r="AS431" s="1"/>
      <c r="AT431" s="1"/>
      <c r="AU431" s="1"/>
      <c r="AV431" s="1"/>
      <c r="AW431" s="1"/>
      <c r="DS431" s="33"/>
      <c r="DT431" s="33"/>
      <c r="DU431" s="33"/>
      <c r="DV431" s="33"/>
      <c r="DW431" s="33"/>
      <c r="DX431" s="33"/>
      <c r="DY431" s="33"/>
      <c r="DZ431" s="33"/>
      <c r="EA431" s="33"/>
      <c r="EB431" s="33"/>
      <c r="EC431" s="33"/>
      <c r="ED431" s="33"/>
      <c r="EE431" s="33"/>
      <c r="EF431" s="33"/>
      <c r="EG431" s="33"/>
      <c r="EH431" s="33"/>
      <c r="EI431" s="33"/>
      <c r="EJ431" s="33"/>
      <c r="EK431" s="33"/>
      <c r="EL431" s="33"/>
      <c r="EM431" s="33"/>
      <c r="EN431" s="33"/>
      <c r="EO431" s="33"/>
      <c r="EP431" s="33"/>
      <c r="EQ431" s="33"/>
      <c r="ER431" s="33"/>
      <c r="ES431" s="33"/>
      <c r="ET431" s="33"/>
      <c r="EU431" s="33"/>
      <c r="EV431" s="33"/>
      <c r="EW431" s="33"/>
      <c r="EX431" s="33"/>
      <c r="EY431" s="33"/>
    </row>
    <row r="432" spans="44:155" x14ac:dyDescent="0.3">
      <c r="AR432" s="1"/>
      <c r="AS432" s="1"/>
      <c r="AT432" s="1"/>
      <c r="AU432" s="1"/>
      <c r="AV432" s="1"/>
      <c r="AW432" s="1"/>
      <c r="DS432" s="33"/>
      <c r="DT432" s="33"/>
      <c r="DU432" s="33"/>
      <c r="DV432" s="33"/>
      <c r="DW432" s="33"/>
      <c r="DX432" s="33"/>
      <c r="DY432" s="33"/>
      <c r="DZ432" s="33"/>
      <c r="EA432" s="33"/>
      <c r="EB432" s="33"/>
      <c r="EC432" s="33"/>
      <c r="ED432" s="33"/>
      <c r="EE432" s="33"/>
      <c r="EF432" s="33"/>
      <c r="EG432" s="33"/>
      <c r="EH432" s="33"/>
      <c r="EI432" s="33"/>
      <c r="EJ432" s="33"/>
      <c r="EK432" s="33"/>
      <c r="EL432" s="33"/>
      <c r="EM432" s="33"/>
      <c r="EN432" s="33"/>
      <c r="EO432" s="33"/>
      <c r="EP432" s="33"/>
      <c r="EQ432" s="33"/>
      <c r="ER432" s="33"/>
      <c r="ES432" s="33"/>
      <c r="ET432" s="33"/>
      <c r="EU432" s="33"/>
      <c r="EV432" s="33"/>
      <c r="EW432" s="33"/>
      <c r="EX432" s="33"/>
      <c r="EY432" s="33"/>
    </row>
    <row r="433" spans="44:155" x14ac:dyDescent="0.3">
      <c r="AR433" s="1"/>
      <c r="AS433" s="1"/>
      <c r="AT433" s="1"/>
      <c r="AU433" s="1"/>
      <c r="AV433" s="1"/>
      <c r="AW433" s="1"/>
      <c r="DS433" s="33"/>
      <c r="DT433" s="33"/>
      <c r="DU433" s="33"/>
      <c r="DV433" s="33"/>
      <c r="DW433" s="33"/>
      <c r="DX433" s="33"/>
      <c r="DY433" s="33"/>
      <c r="DZ433" s="33"/>
      <c r="EA433" s="33"/>
      <c r="EB433" s="33"/>
      <c r="EC433" s="33"/>
      <c r="ED433" s="33"/>
      <c r="EE433" s="33"/>
      <c r="EF433" s="33"/>
      <c r="EG433" s="33"/>
      <c r="EH433" s="33"/>
      <c r="EI433" s="33"/>
      <c r="EJ433" s="33"/>
      <c r="EK433" s="33"/>
      <c r="EL433" s="33"/>
      <c r="EM433" s="33"/>
      <c r="EN433" s="33"/>
      <c r="EO433" s="33"/>
      <c r="EP433" s="33"/>
      <c r="EQ433" s="33"/>
      <c r="ER433" s="33"/>
      <c r="ES433" s="33"/>
      <c r="ET433" s="33"/>
      <c r="EU433" s="33"/>
      <c r="EV433" s="33"/>
      <c r="EW433" s="33"/>
      <c r="EX433" s="33"/>
      <c r="EY433" s="33"/>
    </row>
    <row r="434" spans="44:155" x14ac:dyDescent="0.3">
      <c r="AR434" s="1"/>
      <c r="AS434" s="1"/>
      <c r="AT434" s="1"/>
      <c r="AU434" s="1"/>
      <c r="AV434" s="1"/>
      <c r="AW434" s="1"/>
      <c r="DS434" s="33"/>
      <c r="DT434" s="33"/>
      <c r="DU434" s="33"/>
      <c r="DV434" s="33"/>
      <c r="DW434" s="33"/>
      <c r="DX434" s="33"/>
      <c r="DY434" s="33"/>
      <c r="DZ434" s="33"/>
      <c r="EA434" s="33"/>
      <c r="EB434" s="33"/>
      <c r="EC434" s="33"/>
      <c r="ED434" s="33"/>
      <c r="EE434" s="33"/>
      <c r="EF434" s="33"/>
      <c r="EG434" s="33"/>
      <c r="EH434" s="33"/>
      <c r="EI434" s="33"/>
      <c r="EJ434" s="33"/>
      <c r="EK434" s="33"/>
      <c r="EL434" s="33"/>
      <c r="EM434" s="33"/>
      <c r="EN434" s="33"/>
      <c r="EO434" s="33"/>
      <c r="EP434" s="33"/>
      <c r="EQ434" s="33"/>
      <c r="ER434" s="33"/>
      <c r="ES434" s="33"/>
      <c r="ET434" s="33"/>
      <c r="EU434" s="33"/>
      <c r="EV434" s="33"/>
      <c r="EW434" s="33"/>
      <c r="EX434" s="33"/>
      <c r="EY434" s="33"/>
    </row>
    <row r="435" spans="44:155" x14ac:dyDescent="0.3">
      <c r="AR435" s="1"/>
      <c r="AS435" s="1"/>
      <c r="AT435" s="1"/>
      <c r="AU435" s="1"/>
      <c r="AV435" s="1"/>
      <c r="AW435" s="1"/>
      <c r="DS435" s="33"/>
      <c r="DT435" s="33"/>
      <c r="DU435" s="33"/>
      <c r="DV435" s="33"/>
      <c r="DW435" s="33"/>
      <c r="DX435" s="33"/>
      <c r="DY435" s="33"/>
      <c r="DZ435" s="33"/>
      <c r="EA435" s="33"/>
      <c r="EB435" s="33"/>
      <c r="EC435" s="33"/>
      <c r="ED435" s="33"/>
      <c r="EE435" s="33"/>
      <c r="EF435" s="33"/>
      <c r="EG435" s="33"/>
      <c r="EH435" s="33"/>
      <c r="EI435" s="33"/>
      <c r="EJ435" s="33"/>
      <c r="EK435" s="33"/>
      <c r="EL435" s="33"/>
      <c r="EM435" s="33"/>
      <c r="EN435" s="33"/>
      <c r="EO435" s="33"/>
      <c r="EP435" s="33"/>
      <c r="EQ435" s="33"/>
      <c r="ER435" s="33"/>
      <c r="ES435" s="33"/>
      <c r="ET435" s="33"/>
      <c r="EU435" s="33"/>
      <c r="EV435" s="33"/>
      <c r="EW435" s="33"/>
      <c r="EX435" s="33"/>
      <c r="EY435" s="33"/>
    </row>
    <row r="436" spans="44:155" x14ac:dyDescent="0.3">
      <c r="AR436" s="1"/>
      <c r="AS436" s="1"/>
      <c r="AT436" s="1"/>
      <c r="AU436" s="1"/>
      <c r="AV436" s="1"/>
      <c r="AW436" s="1"/>
      <c r="DS436" s="33"/>
      <c r="DT436" s="33"/>
      <c r="DU436" s="33"/>
      <c r="DV436" s="33"/>
      <c r="DW436" s="33"/>
      <c r="DX436" s="33"/>
      <c r="DY436" s="33"/>
      <c r="DZ436" s="33"/>
      <c r="EA436" s="33"/>
      <c r="EB436" s="33"/>
      <c r="EC436" s="33"/>
      <c r="ED436" s="33"/>
      <c r="EE436" s="33"/>
      <c r="EF436" s="33"/>
      <c r="EG436" s="33"/>
      <c r="EH436" s="33"/>
      <c r="EI436" s="33"/>
      <c r="EJ436" s="33"/>
      <c r="EK436" s="33"/>
      <c r="EL436" s="33"/>
      <c r="EM436" s="33"/>
      <c r="EN436" s="33"/>
      <c r="EO436" s="33"/>
      <c r="EP436" s="33"/>
      <c r="EQ436" s="33"/>
      <c r="ER436" s="33"/>
      <c r="ES436" s="33"/>
      <c r="ET436" s="33"/>
      <c r="EU436" s="33"/>
      <c r="EV436" s="33"/>
      <c r="EW436" s="33"/>
      <c r="EX436" s="33"/>
      <c r="EY436" s="33"/>
    </row>
    <row r="437" spans="44:155" x14ac:dyDescent="0.3">
      <c r="AR437" s="1"/>
      <c r="AS437" s="1"/>
      <c r="AT437" s="1"/>
      <c r="AU437" s="1"/>
      <c r="AV437" s="1"/>
      <c r="AW437" s="1"/>
      <c r="DS437" s="33"/>
      <c r="DT437" s="33"/>
      <c r="DU437" s="33"/>
      <c r="DV437" s="33"/>
      <c r="DW437" s="33"/>
      <c r="DX437" s="33"/>
      <c r="DY437" s="33"/>
      <c r="DZ437" s="33"/>
      <c r="EA437" s="33"/>
      <c r="EB437" s="33"/>
      <c r="EC437" s="33"/>
      <c r="ED437" s="33"/>
      <c r="EE437" s="33"/>
      <c r="EF437" s="33"/>
      <c r="EG437" s="33"/>
      <c r="EH437" s="33"/>
      <c r="EI437" s="33"/>
      <c r="EJ437" s="33"/>
      <c r="EK437" s="33"/>
      <c r="EL437" s="33"/>
      <c r="EM437" s="33"/>
      <c r="EN437" s="33"/>
      <c r="EO437" s="33"/>
      <c r="EP437" s="33"/>
      <c r="EQ437" s="33"/>
      <c r="ER437" s="33"/>
      <c r="ES437" s="33"/>
      <c r="ET437" s="33"/>
      <c r="EU437" s="33"/>
      <c r="EV437" s="33"/>
      <c r="EW437" s="33"/>
      <c r="EX437" s="33"/>
      <c r="EY437" s="33"/>
    </row>
    <row r="438" spans="44:155" x14ac:dyDescent="0.3">
      <c r="AR438" s="1"/>
      <c r="AS438" s="1"/>
      <c r="AT438" s="1"/>
      <c r="AU438" s="1"/>
      <c r="AV438" s="1"/>
      <c r="AW438" s="1"/>
      <c r="DS438" s="33"/>
      <c r="DT438" s="33"/>
      <c r="DU438" s="33"/>
      <c r="DV438" s="33"/>
      <c r="DW438" s="33"/>
      <c r="DX438" s="33"/>
      <c r="DY438" s="33"/>
      <c r="DZ438" s="33"/>
      <c r="EA438" s="33"/>
      <c r="EB438" s="33"/>
      <c r="EC438" s="33"/>
      <c r="ED438" s="33"/>
      <c r="EE438" s="33"/>
      <c r="EF438" s="33"/>
      <c r="EG438" s="33"/>
      <c r="EH438" s="33"/>
      <c r="EI438" s="33"/>
      <c r="EJ438" s="33"/>
      <c r="EK438" s="33"/>
      <c r="EL438" s="33"/>
      <c r="EM438" s="33"/>
      <c r="EN438" s="33"/>
      <c r="EO438" s="33"/>
      <c r="EP438" s="33"/>
      <c r="EQ438" s="33"/>
      <c r="ER438" s="33"/>
      <c r="ES438" s="33"/>
      <c r="ET438" s="33"/>
      <c r="EU438" s="33"/>
      <c r="EV438" s="33"/>
      <c r="EW438" s="33"/>
      <c r="EX438" s="33"/>
      <c r="EY438" s="33"/>
    </row>
    <row r="439" spans="44:155" x14ac:dyDescent="0.3">
      <c r="AR439" s="1"/>
      <c r="AS439" s="1"/>
      <c r="AT439" s="1"/>
      <c r="AU439" s="1"/>
      <c r="AV439" s="1"/>
      <c r="AW439" s="1"/>
      <c r="DS439" s="33"/>
      <c r="DT439" s="33"/>
      <c r="DU439" s="33"/>
      <c r="DV439" s="33"/>
      <c r="DW439" s="33"/>
      <c r="DX439" s="33"/>
      <c r="DY439" s="33"/>
      <c r="DZ439" s="33"/>
      <c r="EA439" s="33"/>
      <c r="EB439" s="33"/>
      <c r="EC439" s="33"/>
      <c r="ED439" s="33"/>
      <c r="EE439" s="33"/>
      <c r="EF439" s="33"/>
      <c r="EG439" s="33"/>
      <c r="EH439" s="33"/>
      <c r="EI439" s="33"/>
      <c r="EJ439" s="33"/>
      <c r="EK439" s="33"/>
      <c r="EL439" s="33"/>
      <c r="EM439" s="33"/>
      <c r="EN439" s="33"/>
      <c r="EO439" s="33"/>
      <c r="EP439" s="33"/>
      <c r="EQ439" s="33"/>
      <c r="ER439" s="33"/>
      <c r="ES439" s="33"/>
      <c r="ET439" s="33"/>
      <c r="EU439" s="33"/>
      <c r="EV439" s="33"/>
      <c r="EW439" s="33"/>
      <c r="EX439" s="33"/>
      <c r="EY439" s="33"/>
    </row>
    <row r="440" spans="44:155" x14ac:dyDescent="0.3">
      <c r="AR440" s="1"/>
      <c r="AS440" s="1"/>
      <c r="AT440" s="1"/>
      <c r="AU440" s="1"/>
      <c r="AV440" s="1"/>
      <c r="AW440" s="1"/>
      <c r="DS440" s="33"/>
      <c r="DT440" s="33"/>
      <c r="DU440" s="33"/>
      <c r="DV440" s="33"/>
      <c r="DW440" s="33"/>
      <c r="DX440" s="33"/>
      <c r="DY440" s="33"/>
      <c r="DZ440" s="33"/>
      <c r="EA440" s="33"/>
      <c r="EB440" s="33"/>
      <c r="EC440" s="33"/>
      <c r="ED440" s="33"/>
      <c r="EE440" s="33"/>
      <c r="EF440" s="33"/>
      <c r="EG440" s="33"/>
      <c r="EH440" s="33"/>
      <c r="EI440" s="33"/>
      <c r="EJ440" s="33"/>
      <c r="EK440" s="33"/>
      <c r="EL440" s="33"/>
      <c r="EM440" s="33"/>
      <c r="EN440" s="33"/>
      <c r="EO440" s="33"/>
      <c r="EP440" s="33"/>
      <c r="EQ440" s="33"/>
      <c r="ER440" s="33"/>
      <c r="ES440" s="33"/>
      <c r="ET440" s="33"/>
      <c r="EU440" s="33"/>
      <c r="EV440" s="33"/>
      <c r="EW440" s="33"/>
      <c r="EX440" s="33"/>
      <c r="EY440" s="33"/>
    </row>
    <row r="441" spans="44:155" x14ac:dyDescent="0.3">
      <c r="AR441" s="1"/>
      <c r="AS441" s="1"/>
      <c r="AT441" s="1"/>
      <c r="AU441" s="1"/>
      <c r="AV441" s="1"/>
      <c r="AW441" s="1"/>
      <c r="DS441" s="33"/>
      <c r="DT441" s="33"/>
      <c r="DU441" s="33"/>
      <c r="DV441" s="33"/>
      <c r="DW441" s="33"/>
      <c r="DX441" s="33"/>
      <c r="DY441" s="33"/>
      <c r="DZ441" s="33"/>
      <c r="EA441" s="33"/>
      <c r="EB441" s="33"/>
      <c r="EC441" s="33"/>
      <c r="ED441" s="33"/>
      <c r="EE441" s="33"/>
      <c r="EF441" s="33"/>
      <c r="EG441" s="33"/>
      <c r="EH441" s="33"/>
      <c r="EI441" s="33"/>
      <c r="EJ441" s="33"/>
      <c r="EK441" s="33"/>
      <c r="EL441" s="33"/>
      <c r="EM441" s="33"/>
      <c r="EN441" s="33"/>
      <c r="EO441" s="33"/>
      <c r="EP441" s="33"/>
      <c r="EQ441" s="33"/>
      <c r="ER441" s="33"/>
      <c r="ES441" s="33"/>
      <c r="ET441" s="33"/>
      <c r="EU441" s="33"/>
      <c r="EV441" s="33"/>
      <c r="EW441" s="33"/>
      <c r="EX441" s="33"/>
      <c r="EY441" s="33"/>
    </row>
    <row r="442" spans="44:155" x14ac:dyDescent="0.3">
      <c r="AR442" s="1"/>
      <c r="AS442" s="1"/>
      <c r="AT442" s="1"/>
      <c r="AU442" s="1"/>
      <c r="AV442" s="1"/>
      <c r="AW442" s="1"/>
      <c r="DS442" s="33"/>
      <c r="DT442" s="33"/>
      <c r="DU442" s="33"/>
      <c r="DV442" s="33"/>
      <c r="DW442" s="33"/>
      <c r="DX442" s="33"/>
      <c r="DY442" s="33"/>
      <c r="DZ442" s="33"/>
      <c r="EA442" s="33"/>
      <c r="EB442" s="33"/>
      <c r="EC442" s="33"/>
      <c r="ED442" s="33"/>
      <c r="EE442" s="33"/>
      <c r="EF442" s="33"/>
      <c r="EG442" s="33"/>
      <c r="EH442" s="33"/>
      <c r="EI442" s="33"/>
      <c r="EJ442" s="33"/>
      <c r="EK442" s="33"/>
      <c r="EL442" s="33"/>
      <c r="EM442" s="33"/>
      <c r="EN442" s="33"/>
      <c r="EO442" s="33"/>
      <c r="EP442" s="33"/>
      <c r="EQ442" s="33"/>
      <c r="ER442" s="33"/>
      <c r="ES442" s="33"/>
      <c r="ET442" s="33"/>
      <c r="EU442" s="33"/>
      <c r="EV442" s="33"/>
      <c r="EW442" s="33"/>
      <c r="EX442" s="33"/>
      <c r="EY442" s="33"/>
    </row>
    <row r="443" spans="44:155" x14ac:dyDescent="0.3">
      <c r="AR443" s="1"/>
      <c r="AS443" s="1"/>
      <c r="AT443" s="1"/>
      <c r="AU443" s="1"/>
      <c r="AV443" s="1"/>
      <c r="AW443" s="1"/>
      <c r="DS443" s="33"/>
      <c r="DT443" s="33"/>
      <c r="DU443" s="33"/>
      <c r="DV443" s="33"/>
      <c r="DW443" s="33"/>
      <c r="DX443" s="33"/>
      <c r="DY443" s="33"/>
      <c r="DZ443" s="33"/>
      <c r="EA443" s="33"/>
      <c r="EB443" s="33"/>
      <c r="EC443" s="33"/>
      <c r="ED443" s="33"/>
      <c r="EE443" s="33"/>
      <c r="EF443" s="33"/>
      <c r="EG443" s="33"/>
      <c r="EH443" s="33"/>
      <c r="EI443" s="33"/>
      <c r="EJ443" s="33"/>
      <c r="EK443" s="33"/>
      <c r="EL443" s="33"/>
      <c r="EM443" s="33"/>
      <c r="EN443" s="33"/>
      <c r="EO443" s="33"/>
      <c r="EP443" s="33"/>
      <c r="EQ443" s="33"/>
      <c r="ER443" s="33"/>
      <c r="ES443" s="33"/>
      <c r="ET443" s="33"/>
      <c r="EU443" s="33"/>
      <c r="EV443" s="33"/>
      <c r="EW443" s="33"/>
      <c r="EX443" s="33"/>
      <c r="EY443" s="33"/>
    </row>
    <row r="444" spans="44:155" x14ac:dyDescent="0.3">
      <c r="AR444" s="1"/>
      <c r="AS444" s="1"/>
      <c r="AT444" s="1"/>
      <c r="AU444" s="1"/>
      <c r="AV444" s="1"/>
      <c r="AW444" s="1"/>
      <c r="DS444" s="33"/>
      <c r="DT444" s="33"/>
      <c r="DU444" s="33"/>
      <c r="DV444" s="33"/>
      <c r="DW444" s="33"/>
      <c r="DX444" s="33"/>
      <c r="DY444" s="33"/>
      <c r="DZ444" s="33"/>
      <c r="EA444" s="33"/>
      <c r="EB444" s="33"/>
      <c r="EC444" s="33"/>
      <c r="ED444" s="33"/>
      <c r="EE444" s="33"/>
      <c r="EF444" s="33"/>
      <c r="EG444" s="33"/>
      <c r="EH444" s="33"/>
      <c r="EI444" s="33"/>
      <c r="EJ444" s="33"/>
      <c r="EK444" s="33"/>
      <c r="EL444" s="33"/>
      <c r="EM444" s="33"/>
      <c r="EN444" s="33"/>
      <c r="EO444" s="33"/>
      <c r="EP444" s="33"/>
      <c r="EQ444" s="33"/>
      <c r="ER444" s="33"/>
      <c r="ES444" s="33"/>
      <c r="ET444" s="33"/>
      <c r="EU444" s="33"/>
      <c r="EV444" s="33"/>
      <c r="EW444" s="33"/>
      <c r="EX444" s="33"/>
      <c r="EY444" s="33"/>
    </row>
    <row r="445" spans="44:155" x14ac:dyDescent="0.3">
      <c r="AR445" s="1"/>
      <c r="AS445" s="1"/>
      <c r="AT445" s="1"/>
      <c r="AU445" s="1"/>
      <c r="AV445" s="1"/>
      <c r="AW445" s="1"/>
      <c r="DS445" s="33"/>
      <c r="DT445" s="33"/>
      <c r="DU445" s="33"/>
      <c r="DV445" s="33"/>
      <c r="DW445" s="33"/>
      <c r="DX445" s="33"/>
      <c r="DY445" s="33"/>
      <c r="DZ445" s="33"/>
      <c r="EA445" s="33"/>
      <c r="EB445" s="33"/>
      <c r="EC445" s="33"/>
      <c r="ED445" s="33"/>
      <c r="EE445" s="33"/>
      <c r="EF445" s="33"/>
      <c r="EG445" s="33"/>
      <c r="EH445" s="33"/>
      <c r="EI445" s="33"/>
      <c r="EJ445" s="33"/>
      <c r="EK445" s="33"/>
      <c r="EL445" s="33"/>
      <c r="EM445" s="33"/>
      <c r="EN445" s="33"/>
      <c r="EO445" s="33"/>
      <c r="EP445" s="33"/>
      <c r="EQ445" s="33"/>
      <c r="ER445" s="33"/>
      <c r="ES445" s="33"/>
      <c r="ET445" s="33"/>
      <c r="EU445" s="33"/>
      <c r="EV445" s="33"/>
      <c r="EW445" s="33"/>
      <c r="EX445" s="33"/>
      <c r="EY445" s="33"/>
    </row>
    <row r="446" spans="44:155" x14ac:dyDescent="0.3">
      <c r="AR446" s="1"/>
      <c r="AS446" s="1"/>
      <c r="AT446" s="1"/>
      <c r="AU446" s="1"/>
      <c r="AV446" s="1"/>
      <c r="AW446" s="1"/>
      <c r="DS446" s="33"/>
      <c r="DT446" s="33"/>
      <c r="DU446" s="33"/>
      <c r="DV446" s="33"/>
      <c r="DW446" s="33"/>
      <c r="DX446" s="33"/>
      <c r="DY446" s="33"/>
      <c r="DZ446" s="33"/>
      <c r="EA446" s="33"/>
      <c r="EB446" s="33"/>
      <c r="EC446" s="33"/>
      <c r="ED446" s="33"/>
      <c r="EE446" s="33"/>
      <c r="EF446" s="33"/>
      <c r="EG446" s="33"/>
      <c r="EH446" s="33"/>
      <c r="EI446" s="33"/>
      <c r="EJ446" s="33"/>
      <c r="EK446" s="33"/>
      <c r="EL446" s="33"/>
      <c r="EM446" s="33"/>
      <c r="EN446" s="33"/>
      <c r="EO446" s="33"/>
      <c r="EP446" s="33"/>
      <c r="EQ446" s="33"/>
      <c r="ER446" s="33"/>
      <c r="ES446" s="33"/>
      <c r="ET446" s="33"/>
      <c r="EU446" s="33"/>
      <c r="EV446" s="33"/>
      <c r="EW446" s="33"/>
      <c r="EX446" s="33"/>
      <c r="EY446" s="33"/>
    </row>
    <row r="447" spans="44:155" x14ac:dyDescent="0.3">
      <c r="AR447" s="1"/>
      <c r="AS447" s="1"/>
      <c r="AT447" s="1"/>
      <c r="AU447" s="1"/>
      <c r="AV447" s="1"/>
      <c r="AW447" s="1"/>
      <c r="DS447" s="33"/>
      <c r="DT447" s="33"/>
      <c r="DU447" s="33"/>
      <c r="DV447" s="33"/>
      <c r="DW447" s="33"/>
      <c r="DX447" s="33"/>
      <c r="DY447" s="33"/>
      <c r="DZ447" s="33"/>
      <c r="EA447" s="33"/>
      <c r="EB447" s="33"/>
      <c r="EC447" s="33"/>
      <c r="ED447" s="33"/>
      <c r="EE447" s="33"/>
      <c r="EF447" s="33"/>
      <c r="EG447" s="33"/>
      <c r="EH447" s="33"/>
      <c r="EI447" s="33"/>
      <c r="EJ447" s="33"/>
      <c r="EK447" s="33"/>
      <c r="EL447" s="33"/>
      <c r="EM447" s="33"/>
      <c r="EN447" s="33"/>
      <c r="EO447" s="33"/>
      <c r="EP447" s="33"/>
      <c r="EQ447" s="33"/>
      <c r="ER447" s="33"/>
      <c r="ES447" s="33"/>
      <c r="ET447" s="33"/>
      <c r="EU447" s="33"/>
      <c r="EV447" s="33"/>
      <c r="EW447" s="33"/>
      <c r="EX447" s="33"/>
      <c r="EY447" s="33"/>
    </row>
    <row r="448" spans="44:155" x14ac:dyDescent="0.3">
      <c r="AR448" s="1"/>
      <c r="AS448" s="1"/>
      <c r="AT448" s="1"/>
      <c r="AU448" s="1"/>
      <c r="AV448" s="1"/>
      <c r="AW448" s="1"/>
      <c r="DS448" s="33"/>
      <c r="DT448" s="33"/>
      <c r="DU448" s="33"/>
      <c r="DV448" s="33"/>
      <c r="DW448" s="33"/>
      <c r="DX448" s="33"/>
      <c r="DY448" s="33"/>
      <c r="DZ448" s="33"/>
      <c r="EA448" s="33"/>
      <c r="EB448" s="33"/>
      <c r="EC448" s="33"/>
      <c r="ED448" s="33"/>
      <c r="EE448" s="33"/>
      <c r="EF448" s="33"/>
      <c r="EG448" s="33"/>
      <c r="EH448" s="33"/>
      <c r="EI448" s="33"/>
      <c r="EJ448" s="33"/>
      <c r="EK448" s="33"/>
      <c r="EL448" s="33"/>
      <c r="EM448" s="33"/>
      <c r="EN448" s="33"/>
      <c r="EO448" s="33"/>
      <c r="EP448" s="33"/>
      <c r="EQ448" s="33"/>
      <c r="ER448" s="33"/>
      <c r="ES448" s="33"/>
      <c r="ET448" s="33"/>
      <c r="EU448" s="33"/>
      <c r="EV448" s="33"/>
      <c r="EW448" s="33"/>
      <c r="EX448" s="33"/>
      <c r="EY448" s="33"/>
    </row>
    <row r="449" spans="44:155" x14ac:dyDescent="0.3">
      <c r="AR449" s="1"/>
      <c r="AS449" s="1"/>
      <c r="AT449" s="1"/>
      <c r="AU449" s="1"/>
      <c r="AV449" s="1"/>
      <c r="AW449" s="1"/>
      <c r="DS449" s="33"/>
      <c r="DT449" s="33"/>
      <c r="DU449" s="33"/>
      <c r="DV449" s="33"/>
      <c r="DW449" s="33"/>
      <c r="DX449" s="33"/>
      <c r="DY449" s="33"/>
      <c r="DZ449" s="33"/>
      <c r="EA449" s="33"/>
      <c r="EB449" s="33"/>
      <c r="EC449" s="33"/>
      <c r="ED449" s="33"/>
      <c r="EE449" s="33"/>
      <c r="EF449" s="33"/>
      <c r="EG449" s="33"/>
      <c r="EH449" s="33"/>
      <c r="EI449" s="33"/>
      <c r="EJ449" s="33"/>
      <c r="EK449" s="33"/>
      <c r="EL449" s="33"/>
      <c r="EM449" s="33"/>
      <c r="EN449" s="33"/>
      <c r="EO449" s="33"/>
      <c r="EP449" s="33"/>
      <c r="EQ449" s="33"/>
      <c r="ER449" s="33"/>
      <c r="ES449" s="33"/>
      <c r="ET449" s="33"/>
      <c r="EU449" s="33"/>
      <c r="EV449" s="33"/>
      <c r="EW449" s="33"/>
      <c r="EX449" s="33"/>
      <c r="EY449" s="33"/>
    </row>
    <row r="450" spans="44:155" x14ac:dyDescent="0.3">
      <c r="AR450" s="1"/>
      <c r="AS450" s="1"/>
      <c r="AT450" s="1"/>
      <c r="AU450" s="1"/>
      <c r="AV450" s="1"/>
      <c r="AW450" s="1"/>
      <c r="DS450" s="33"/>
      <c r="DT450" s="33"/>
      <c r="DU450" s="33"/>
      <c r="DV450" s="33"/>
      <c r="DW450" s="33"/>
      <c r="DX450" s="33"/>
      <c r="DY450" s="33"/>
      <c r="DZ450" s="33"/>
      <c r="EA450" s="33"/>
      <c r="EB450" s="33"/>
      <c r="EC450" s="33"/>
      <c r="ED450" s="33"/>
      <c r="EE450" s="33"/>
      <c r="EF450" s="33"/>
      <c r="EG450" s="33"/>
      <c r="EH450" s="33"/>
      <c r="EI450" s="33"/>
      <c r="EJ450" s="33"/>
      <c r="EK450" s="33"/>
      <c r="EL450" s="33"/>
      <c r="EM450" s="33"/>
      <c r="EN450" s="33"/>
      <c r="EO450" s="33"/>
      <c r="EP450" s="33"/>
      <c r="EQ450" s="33"/>
      <c r="ER450" s="33"/>
      <c r="ES450" s="33"/>
      <c r="ET450" s="33"/>
      <c r="EU450" s="33"/>
      <c r="EV450" s="33"/>
      <c r="EW450" s="33"/>
      <c r="EX450" s="33"/>
      <c r="EY450" s="33"/>
    </row>
    <row r="451" spans="44:155" x14ac:dyDescent="0.3">
      <c r="AR451" s="1"/>
      <c r="AS451" s="1"/>
      <c r="AT451" s="1"/>
      <c r="AU451" s="1"/>
      <c r="AV451" s="1"/>
      <c r="AW451" s="1"/>
      <c r="DS451" s="33"/>
      <c r="DT451" s="33"/>
      <c r="DU451" s="33"/>
      <c r="DV451" s="33"/>
      <c r="DW451" s="33"/>
      <c r="DX451" s="33"/>
      <c r="DY451" s="33"/>
      <c r="DZ451" s="33"/>
      <c r="EA451" s="33"/>
      <c r="EB451" s="33"/>
      <c r="EC451" s="33"/>
      <c r="ED451" s="33"/>
      <c r="EE451" s="33"/>
      <c r="EF451" s="33"/>
      <c r="EG451" s="33"/>
      <c r="EH451" s="33"/>
      <c r="EI451" s="33"/>
      <c r="EJ451" s="33"/>
      <c r="EK451" s="33"/>
      <c r="EL451" s="33"/>
      <c r="EM451" s="33"/>
      <c r="EN451" s="33"/>
      <c r="EO451" s="33"/>
      <c r="EP451" s="33"/>
      <c r="EQ451" s="33"/>
      <c r="ER451" s="33"/>
      <c r="ES451" s="33"/>
      <c r="ET451" s="33"/>
      <c r="EU451" s="33"/>
      <c r="EV451" s="33"/>
      <c r="EW451" s="33"/>
      <c r="EX451" s="33"/>
      <c r="EY451" s="33"/>
    </row>
    <row r="452" spans="44:155" x14ac:dyDescent="0.3">
      <c r="AR452" s="1"/>
      <c r="AS452" s="1"/>
      <c r="AT452" s="1"/>
      <c r="AU452" s="1"/>
      <c r="AV452" s="1"/>
      <c r="AW452" s="1"/>
      <c r="DS452" s="33"/>
      <c r="DT452" s="33"/>
      <c r="DU452" s="33"/>
      <c r="DV452" s="33"/>
      <c r="DW452" s="33"/>
      <c r="DX452" s="33"/>
      <c r="DY452" s="33"/>
      <c r="DZ452" s="33"/>
      <c r="EA452" s="33"/>
      <c r="EB452" s="33"/>
      <c r="EC452" s="33"/>
      <c r="ED452" s="33"/>
      <c r="EE452" s="33"/>
      <c r="EF452" s="33"/>
      <c r="EG452" s="33"/>
      <c r="EH452" s="33"/>
      <c r="EI452" s="33"/>
      <c r="EJ452" s="33"/>
      <c r="EK452" s="33"/>
      <c r="EL452" s="33"/>
      <c r="EM452" s="33"/>
      <c r="EN452" s="33"/>
      <c r="EO452" s="33"/>
      <c r="EP452" s="33"/>
      <c r="EQ452" s="33"/>
      <c r="ER452" s="33"/>
      <c r="ES452" s="33"/>
      <c r="ET452" s="33"/>
      <c r="EU452" s="33"/>
      <c r="EV452" s="33"/>
      <c r="EW452" s="33"/>
      <c r="EX452" s="33"/>
      <c r="EY452" s="33"/>
    </row>
    <row r="453" spans="44:155" x14ac:dyDescent="0.3">
      <c r="AR453" s="1"/>
      <c r="AS453" s="1"/>
      <c r="AT453" s="1"/>
      <c r="AU453" s="1"/>
      <c r="AV453" s="1"/>
      <c r="AW453" s="1"/>
      <c r="DS453" s="33"/>
      <c r="DT453" s="33"/>
      <c r="DU453" s="33"/>
      <c r="DV453" s="33"/>
      <c r="DW453" s="33"/>
      <c r="DX453" s="33"/>
      <c r="DY453" s="33"/>
      <c r="DZ453" s="33"/>
      <c r="EA453" s="33"/>
      <c r="EB453" s="33"/>
      <c r="EC453" s="33"/>
      <c r="ED453" s="33"/>
      <c r="EE453" s="33"/>
      <c r="EF453" s="33"/>
      <c r="EG453" s="33"/>
      <c r="EH453" s="33"/>
      <c r="EI453" s="33"/>
      <c r="EJ453" s="33"/>
      <c r="EK453" s="33"/>
      <c r="EL453" s="33"/>
      <c r="EM453" s="33"/>
      <c r="EN453" s="33"/>
      <c r="EO453" s="33"/>
      <c r="EP453" s="33"/>
      <c r="EQ453" s="33"/>
      <c r="ER453" s="33"/>
      <c r="ES453" s="33"/>
      <c r="ET453" s="33"/>
      <c r="EU453" s="33"/>
      <c r="EV453" s="33"/>
      <c r="EW453" s="33"/>
      <c r="EX453" s="33"/>
      <c r="EY453" s="33"/>
    </row>
    <row r="454" spans="44:155" x14ac:dyDescent="0.3">
      <c r="AR454" s="1"/>
      <c r="AS454" s="1"/>
      <c r="AT454" s="1"/>
      <c r="AU454" s="1"/>
      <c r="AV454" s="1"/>
      <c r="AW454" s="1"/>
      <c r="DS454" s="33"/>
      <c r="DT454" s="33"/>
      <c r="DU454" s="33"/>
      <c r="DV454" s="33"/>
      <c r="DW454" s="33"/>
      <c r="DX454" s="33"/>
      <c r="DY454" s="33"/>
      <c r="DZ454" s="33"/>
      <c r="EA454" s="33"/>
      <c r="EB454" s="33"/>
      <c r="EC454" s="33"/>
      <c r="ED454" s="33"/>
      <c r="EE454" s="33"/>
      <c r="EF454" s="33"/>
      <c r="EG454" s="33"/>
      <c r="EH454" s="33"/>
      <c r="EI454" s="33"/>
      <c r="EJ454" s="33"/>
      <c r="EK454" s="33"/>
      <c r="EL454" s="33"/>
      <c r="EM454" s="33"/>
      <c r="EN454" s="33"/>
      <c r="EO454" s="33"/>
      <c r="EP454" s="33"/>
      <c r="EQ454" s="33"/>
      <c r="ER454" s="33"/>
      <c r="ES454" s="33"/>
      <c r="ET454" s="33"/>
      <c r="EU454" s="33"/>
      <c r="EV454" s="33"/>
      <c r="EW454" s="33"/>
      <c r="EX454" s="33"/>
      <c r="EY454" s="33"/>
    </row>
    <row r="455" spans="44:155" x14ac:dyDescent="0.3">
      <c r="AR455" s="1"/>
      <c r="AS455" s="1"/>
      <c r="AT455" s="1"/>
      <c r="AU455" s="1"/>
      <c r="AV455" s="1"/>
      <c r="AW455" s="1"/>
      <c r="DS455" s="33"/>
      <c r="DT455" s="33"/>
      <c r="DU455" s="33"/>
      <c r="DV455" s="33"/>
      <c r="DW455" s="33"/>
      <c r="DX455" s="33"/>
      <c r="DY455" s="33"/>
      <c r="DZ455" s="33"/>
      <c r="EA455" s="33"/>
      <c r="EB455" s="33"/>
      <c r="EC455" s="33"/>
      <c r="ED455" s="33"/>
      <c r="EE455" s="33"/>
      <c r="EF455" s="33"/>
      <c r="EG455" s="33"/>
      <c r="EH455" s="33"/>
      <c r="EI455" s="33"/>
      <c r="EJ455" s="33"/>
      <c r="EK455" s="33"/>
      <c r="EL455" s="33"/>
      <c r="EM455" s="33"/>
      <c r="EN455" s="33"/>
      <c r="EO455" s="33"/>
      <c r="EP455" s="33"/>
      <c r="EQ455" s="33"/>
      <c r="ER455" s="33"/>
      <c r="ES455" s="33"/>
      <c r="ET455" s="33"/>
      <c r="EU455" s="33"/>
      <c r="EV455" s="33"/>
      <c r="EW455" s="33"/>
      <c r="EX455" s="33"/>
      <c r="EY455" s="33"/>
    </row>
    <row r="456" spans="44:155" x14ac:dyDescent="0.3">
      <c r="AR456" s="1"/>
      <c r="AS456" s="1"/>
      <c r="AT456" s="1"/>
      <c r="AU456" s="1"/>
      <c r="AV456" s="1"/>
      <c r="AW456" s="1"/>
      <c r="DS456" s="33"/>
      <c r="DT456" s="33"/>
      <c r="DU456" s="33"/>
      <c r="DV456" s="33"/>
      <c r="DW456" s="33"/>
      <c r="DX456" s="33"/>
      <c r="DY456" s="33"/>
      <c r="DZ456" s="33"/>
      <c r="EA456" s="33"/>
      <c r="EB456" s="33"/>
      <c r="EC456" s="33"/>
      <c r="ED456" s="33"/>
      <c r="EE456" s="33"/>
      <c r="EF456" s="33"/>
      <c r="EG456" s="33"/>
      <c r="EH456" s="33"/>
      <c r="EI456" s="33"/>
      <c r="EJ456" s="33"/>
      <c r="EK456" s="33"/>
      <c r="EL456" s="33"/>
      <c r="EM456" s="33"/>
      <c r="EN456" s="33"/>
      <c r="EO456" s="33"/>
      <c r="EP456" s="33"/>
      <c r="EQ456" s="33"/>
      <c r="ER456" s="33"/>
      <c r="ES456" s="33"/>
      <c r="ET456" s="33"/>
      <c r="EU456" s="33"/>
      <c r="EV456" s="33"/>
      <c r="EW456" s="33"/>
      <c r="EX456" s="33"/>
      <c r="EY456" s="33"/>
    </row>
    <row r="457" spans="44:155" x14ac:dyDescent="0.3">
      <c r="AR457" s="1"/>
      <c r="AS457" s="1"/>
      <c r="AT457" s="1"/>
      <c r="AU457" s="1"/>
      <c r="AV457" s="1"/>
      <c r="AW457" s="1"/>
      <c r="DS457" s="33"/>
      <c r="DT457" s="33"/>
      <c r="DU457" s="33"/>
      <c r="DV457" s="33"/>
      <c r="DW457" s="33"/>
      <c r="DX457" s="33"/>
      <c r="DY457" s="33"/>
      <c r="DZ457" s="33"/>
      <c r="EA457" s="33"/>
      <c r="EB457" s="33"/>
      <c r="EC457" s="33"/>
      <c r="ED457" s="33"/>
      <c r="EE457" s="33"/>
      <c r="EF457" s="33"/>
      <c r="EG457" s="33"/>
      <c r="EH457" s="33"/>
      <c r="EI457" s="33"/>
      <c r="EJ457" s="33"/>
      <c r="EK457" s="33"/>
      <c r="EL457" s="33"/>
      <c r="EM457" s="33"/>
      <c r="EN457" s="33"/>
      <c r="EO457" s="33"/>
      <c r="EP457" s="33"/>
      <c r="EQ457" s="33"/>
      <c r="ER457" s="33"/>
      <c r="ES457" s="33"/>
      <c r="ET457" s="33"/>
      <c r="EU457" s="33"/>
      <c r="EV457" s="33"/>
      <c r="EW457" s="33"/>
      <c r="EX457" s="33"/>
      <c r="EY457" s="33"/>
    </row>
    <row r="458" spans="44:155" x14ac:dyDescent="0.3">
      <c r="AR458" s="1"/>
      <c r="AS458" s="1"/>
      <c r="AT458" s="1"/>
      <c r="AU458" s="1"/>
      <c r="AV458" s="1"/>
      <c r="AW458" s="1"/>
      <c r="DS458" s="33"/>
      <c r="DT458" s="33"/>
      <c r="DU458" s="33"/>
      <c r="DV458" s="33"/>
      <c r="DW458" s="33"/>
      <c r="DX458" s="33"/>
      <c r="DY458" s="33"/>
      <c r="DZ458" s="33"/>
      <c r="EA458" s="33"/>
      <c r="EB458" s="33"/>
      <c r="EC458" s="33"/>
      <c r="ED458" s="33"/>
      <c r="EE458" s="33"/>
      <c r="EF458" s="33"/>
      <c r="EG458" s="33"/>
      <c r="EH458" s="33"/>
      <c r="EI458" s="33"/>
      <c r="EJ458" s="33"/>
      <c r="EK458" s="33"/>
      <c r="EL458" s="33"/>
      <c r="EM458" s="33"/>
      <c r="EN458" s="33"/>
      <c r="EO458" s="33"/>
      <c r="EP458" s="33"/>
      <c r="EQ458" s="33"/>
      <c r="ER458" s="33"/>
      <c r="ES458" s="33"/>
      <c r="ET458" s="33"/>
      <c r="EU458" s="33"/>
      <c r="EV458" s="33"/>
      <c r="EW458" s="33"/>
      <c r="EX458" s="33"/>
      <c r="EY458" s="33"/>
    </row>
    <row r="459" spans="44:155" x14ac:dyDescent="0.3">
      <c r="AR459" s="1"/>
      <c r="AS459" s="1"/>
      <c r="AT459" s="1"/>
      <c r="AU459" s="1"/>
      <c r="AV459" s="1"/>
      <c r="AW459" s="1"/>
      <c r="DS459" s="33"/>
      <c r="DT459" s="33"/>
      <c r="DU459" s="33"/>
      <c r="DV459" s="33"/>
      <c r="DW459" s="33"/>
      <c r="DX459" s="33"/>
      <c r="DY459" s="33"/>
      <c r="DZ459" s="33"/>
      <c r="EA459" s="33"/>
      <c r="EB459" s="33"/>
      <c r="EC459" s="33"/>
      <c r="ED459" s="33"/>
      <c r="EE459" s="33"/>
      <c r="EF459" s="33"/>
      <c r="EG459" s="33"/>
      <c r="EH459" s="33"/>
      <c r="EI459" s="33"/>
      <c r="EJ459" s="33"/>
      <c r="EK459" s="33"/>
      <c r="EL459" s="33"/>
      <c r="EM459" s="33"/>
      <c r="EN459" s="33"/>
      <c r="EO459" s="33"/>
      <c r="EP459" s="33"/>
      <c r="EQ459" s="33"/>
      <c r="ER459" s="33"/>
      <c r="ES459" s="33"/>
      <c r="ET459" s="33"/>
      <c r="EU459" s="33"/>
      <c r="EV459" s="33"/>
      <c r="EW459" s="33"/>
      <c r="EX459" s="33"/>
      <c r="EY459" s="33"/>
    </row>
    <row r="460" spans="44:155" x14ac:dyDescent="0.3">
      <c r="AR460" s="1"/>
      <c r="AS460" s="1"/>
      <c r="AT460" s="1"/>
      <c r="AU460" s="1"/>
      <c r="AV460" s="1"/>
      <c r="AW460" s="1"/>
      <c r="DS460" s="33"/>
      <c r="DT460" s="33"/>
      <c r="DU460" s="33"/>
      <c r="DV460" s="33"/>
      <c r="DW460" s="33"/>
      <c r="DX460" s="33"/>
      <c r="DY460" s="33"/>
      <c r="DZ460" s="33"/>
      <c r="EA460" s="33"/>
      <c r="EB460" s="33"/>
      <c r="EC460" s="33"/>
      <c r="ED460" s="33"/>
      <c r="EE460" s="33"/>
      <c r="EF460" s="33"/>
      <c r="EG460" s="33"/>
      <c r="EH460" s="33"/>
      <c r="EI460" s="33"/>
      <c r="EJ460" s="33"/>
      <c r="EK460" s="33"/>
      <c r="EL460" s="33"/>
      <c r="EM460" s="33"/>
      <c r="EN460" s="33"/>
      <c r="EO460" s="33"/>
      <c r="EP460" s="33"/>
      <c r="EQ460" s="33"/>
      <c r="ER460" s="33"/>
      <c r="ES460" s="33"/>
      <c r="ET460" s="33"/>
      <c r="EU460" s="33"/>
      <c r="EV460" s="33"/>
      <c r="EW460" s="33"/>
      <c r="EX460" s="33"/>
      <c r="EY460" s="33"/>
    </row>
    <row r="461" spans="44:155" x14ac:dyDescent="0.3">
      <c r="AR461" s="1"/>
      <c r="AS461" s="1"/>
      <c r="AT461" s="1"/>
      <c r="AU461" s="1"/>
      <c r="AV461" s="1"/>
      <c r="AW461" s="1"/>
      <c r="DS461" s="33"/>
      <c r="DT461" s="33"/>
      <c r="DU461" s="33"/>
      <c r="DV461" s="33"/>
      <c r="DW461" s="33"/>
      <c r="DX461" s="33"/>
      <c r="DY461" s="33"/>
      <c r="DZ461" s="33"/>
      <c r="EA461" s="33"/>
      <c r="EB461" s="33"/>
      <c r="EC461" s="33"/>
      <c r="ED461" s="33"/>
      <c r="EE461" s="33"/>
      <c r="EF461" s="33"/>
      <c r="EG461" s="33"/>
      <c r="EH461" s="33"/>
      <c r="EI461" s="33"/>
      <c r="EJ461" s="33"/>
      <c r="EK461" s="33"/>
      <c r="EL461" s="33"/>
      <c r="EM461" s="33"/>
      <c r="EN461" s="33"/>
      <c r="EO461" s="33"/>
      <c r="EP461" s="33"/>
      <c r="EQ461" s="33"/>
      <c r="ER461" s="33"/>
      <c r="ES461" s="33"/>
      <c r="ET461" s="33"/>
      <c r="EU461" s="33"/>
      <c r="EV461" s="33"/>
      <c r="EW461" s="33"/>
      <c r="EX461" s="33"/>
      <c r="EY461" s="33"/>
    </row>
    <row r="462" spans="44:155" x14ac:dyDescent="0.3">
      <c r="AR462" s="1"/>
      <c r="AS462" s="1"/>
      <c r="AT462" s="1"/>
      <c r="AU462" s="1"/>
      <c r="AV462" s="1"/>
      <c r="AW462" s="1"/>
      <c r="DS462" s="33"/>
      <c r="DT462" s="33"/>
      <c r="DU462" s="33"/>
      <c r="DV462" s="33"/>
      <c r="DW462" s="33"/>
      <c r="DX462" s="33"/>
      <c r="DY462" s="33"/>
      <c r="DZ462" s="33"/>
      <c r="EA462" s="33"/>
      <c r="EB462" s="33"/>
      <c r="EC462" s="33"/>
      <c r="ED462" s="33"/>
      <c r="EE462" s="33"/>
      <c r="EF462" s="33"/>
      <c r="EG462" s="33"/>
      <c r="EH462" s="33"/>
      <c r="EI462" s="33"/>
      <c r="EJ462" s="33"/>
      <c r="EK462" s="33"/>
      <c r="EL462" s="33"/>
      <c r="EM462" s="33"/>
      <c r="EN462" s="33"/>
      <c r="EO462" s="33"/>
      <c r="EP462" s="33"/>
      <c r="EQ462" s="33"/>
      <c r="ER462" s="33"/>
      <c r="ES462" s="33"/>
      <c r="ET462" s="33"/>
      <c r="EU462" s="33"/>
      <c r="EV462" s="33"/>
      <c r="EW462" s="33"/>
      <c r="EX462" s="33"/>
      <c r="EY462" s="33"/>
    </row>
    <row r="463" spans="44:155" x14ac:dyDescent="0.3">
      <c r="AR463" s="1"/>
      <c r="AS463" s="1"/>
      <c r="AT463" s="1"/>
      <c r="AU463" s="1"/>
      <c r="AV463" s="1"/>
      <c r="AW463" s="1"/>
      <c r="DS463" s="33"/>
      <c r="DT463" s="33"/>
      <c r="DU463" s="33"/>
      <c r="DV463" s="33"/>
      <c r="DW463" s="33"/>
      <c r="DX463" s="33"/>
      <c r="DY463" s="33"/>
      <c r="DZ463" s="33"/>
      <c r="EA463" s="33"/>
      <c r="EB463" s="33"/>
      <c r="EC463" s="33"/>
      <c r="ED463" s="33"/>
      <c r="EE463" s="33"/>
      <c r="EF463" s="33"/>
      <c r="EG463" s="33"/>
      <c r="EH463" s="33"/>
      <c r="EI463" s="33"/>
      <c r="EJ463" s="33"/>
      <c r="EK463" s="33"/>
      <c r="EL463" s="33"/>
      <c r="EM463" s="33"/>
      <c r="EN463" s="33"/>
      <c r="EO463" s="33"/>
      <c r="EP463" s="33"/>
      <c r="EQ463" s="33"/>
      <c r="ER463" s="33"/>
      <c r="ES463" s="33"/>
      <c r="ET463" s="33"/>
      <c r="EU463" s="33"/>
      <c r="EV463" s="33"/>
      <c r="EW463" s="33"/>
      <c r="EX463" s="33"/>
      <c r="EY463" s="33"/>
    </row>
    <row r="464" spans="44:155" x14ac:dyDescent="0.3">
      <c r="AR464" s="1"/>
      <c r="AS464" s="1"/>
      <c r="AT464" s="1"/>
      <c r="AU464" s="1"/>
      <c r="AV464" s="1"/>
      <c r="AW464" s="1"/>
      <c r="DS464" s="33"/>
      <c r="DT464" s="33"/>
      <c r="DU464" s="33"/>
      <c r="DV464" s="33"/>
      <c r="DW464" s="33"/>
      <c r="DX464" s="33"/>
      <c r="DY464" s="33"/>
      <c r="DZ464" s="33"/>
      <c r="EA464" s="33"/>
      <c r="EB464" s="33"/>
      <c r="EC464" s="33"/>
      <c r="ED464" s="33"/>
      <c r="EE464" s="33"/>
      <c r="EF464" s="33"/>
      <c r="EG464" s="33"/>
      <c r="EH464" s="33"/>
      <c r="EI464" s="33"/>
      <c r="EJ464" s="33"/>
      <c r="EK464" s="33"/>
      <c r="EL464" s="33"/>
      <c r="EM464" s="33"/>
      <c r="EN464" s="33"/>
      <c r="EO464" s="33"/>
      <c r="EP464" s="33"/>
      <c r="EQ464" s="33"/>
      <c r="ER464" s="33"/>
      <c r="ES464" s="33"/>
      <c r="ET464" s="33"/>
      <c r="EU464" s="33"/>
      <c r="EV464" s="33"/>
      <c r="EW464" s="33"/>
      <c r="EX464" s="33"/>
      <c r="EY464" s="33"/>
    </row>
    <row r="465" spans="44:155" x14ac:dyDescent="0.3">
      <c r="AR465" s="1"/>
      <c r="AS465" s="1"/>
      <c r="AT465" s="1"/>
      <c r="AU465" s="1"/>
      <c r="AV465" s="1"/>
      <c r="AW465" s="1"/>
      <c r="DS465" s="33"/>
      <c r="DT465" s="33"/>
      <c r="DU465" s="33"/>
      <c r="DV465" s="33"/>
      <c r="DW465" s="33"/>
      <c r="DX465" s="33"/>
      <c r="DY465" s="33"/>
      <c r="DZ465" s="33"/>
      <c r="EA465" s="33"/>
      <c r="EB465" s="33"/>
      <c r="EC465" s="33"/>
      <c r="ED465" s="33"/>
      <c r="EE465" s="33"/>
      <c r="EF465" s="33"/>
      <c r="EG465" s="33"/>
      <c r="EH465" s="33"/>
      <c r="EI465" s="33"/>
      <c r="EJ465" s="33"/>
      <c r="EK465" s="33"/>
      <c r="EL465" s="33"/>
      <c r="EM465" s="33"/>
      <c r="EN465" s="33"/>
      <c r="EO465" s="33"/>
      <c r="EP465" s="33"/>
      <c r="EQ465" s="33"/>
      <c r="ER465" s="33"/>
      <c r="ES465" s="33"/>
      <c r="ET465" s="33"/>
      <c r="EU465" s="33"/>
      <c r="EV465" s="33"/>
      <c r="EW465" s="33"/>
      <c r="EX465" s="33"/>
      <c r="EY465" s="33"/>
    </row>
    <row r="466" spans="44:155" x14ac:dyDescent="0.3">
      <c r="AR466" s="1"/>
      <c r="AS466" s="1"/>
      <c r="AT466" s="1"/>
      <c r="AU466" s="1"/>
      <c r="AV466" s="1"/>
      <c r="AW466" s="1"/>
      <c r="DS466" s="33"/>
      <c r="DT466" s="33"/>
      <c r="DU466" s="33"/>
      <c r="DV466" s="33"/>
      <c r="DW466" s="33"/>
      <c r="DX466" s="33"/>
      <c r="DY466" s="33"/>
      <c r="DZ466" s="33"/>
      <c r="EA466" s="33"/>
      <c r="EB466" s="33"/>
      <c r="EC466" s="33"/>
      <c r="ED466" s="33"/>
      <c r="EE466" s="33"/>
      <c r="EF466" s="33"/>
      <c r="EG466" s="33"/>
      <c r="EH466" s="33"/>
      <c r="EI466" s="33"/>
      <c r="EJ466" s="33"/>
      <c r="EK466" s="33"/>
      <c r="EL466" s="33"/>
      <c r="EM466" s="33"/>
      <c r="EN466" s="33"/>
      <c r="EO466" s="33"/>
      <c r="EP466" s="33"/>
      <c r="EQ466" s="33"/>
      <c r="ER466" s="33"/>
      <c r="ES466" s="33"/>
      <c r="ET466" s="33"/>
      <c r="EU466" s="33"/>
      <c r="EV466" s="33"/>
      <c r="EW466" s="33"/>
      <c r="EX466" s="33"/>
      <c r="EY466" s="33"/>
    </row>
    <row r="467" spans="44:155" x14ac:dyDescent="0.3">
      <c r="AR467" s="1"/>
      <c r="AS467" s="1"/>
      <c r="AT467" s="1"/>
      <c r="AU467" s="1"/>
      <c r="AV467" s="1"/>
      <c r="AW467" s="1"/>
      <c r="DS467" s="33"/>
      <c r="DT467" s="33"/>
      <c r="DU467" s="33"/>
      <c r="DV467" s="33"/>
      <c r="DW467" s="33"/>
      <c r="DX467" s="33"/>
      <c r="DY467" s="33"/>
      <c r="DZ467" s="33"/>
      <c r="EA467" s="33"/>
      <c r="EB467" s="33"/>
      <c r="EC467" s="33"/>
      <c r="ED467" s="33"/>
      <c r="EE467" s="33"/>
      <c r="EF467" s="33"/>
      <c r="EG467" s="33"/>
      <c r="EH467" s="33"/>
      <c r="EI467" s="33"/>
      <c r="EJ467" s="33"/>
      <c r="EK467" s="33"/>
      <c r="EL467" s="33"/>
      <c r="EM467" s="33"/>
      <c r="EN467" s="33"/>
      <c r="EO467" s="33"/>
      <c r="EP467" s="33"/>
      <c r="EQ467" s="33"/>
      <c r="ER467" s="33"/>
      <c r="ES467" s="33"/>
      <c r="ET467" s="33"/>
      <c r="EU467" s="33"/>
      <c r="EV467" s="33"/>
      <c r="EW467" s="33"/>
      <c r="EX467" s="33"/>
      <c r="EY467" s="33"/>
    </row>
    <row r="468" spans="44:155" x14ac:dyDescent="0.3">
      <c r="AR468" s="1"/>
      <c r="AS468" s="1"/>
      <c r="AT468" s="1"/>
      <c r="AU468" s="1"/>
      <c r="AV468" s="1"/>
      <c r="AW468" s="1"/>
      <c r="DS468" s="33"/>
      <c r="DT468" s="33"/>
      <c r="DU468" s="33"/>
      <c r="DV468" s="33"/>
      <c r="DW468" s="33"/>
      <c r="DX468" s="33"/>
      <c r="DY468" s="33"/>
      <c r="DZ468" s="33"/>
      <c r="EA468" s="33"/>
      <c r="EB468" s="33"/>
      <c r="EC468" s="33"/>
      <c r="ED468" s="33"/>
      <c r="EE468" s="33"/>
      <c r="EF468" s="33"/>
      <c r="EG468" s="33"/>
      <c r="EH468" s="33"/>
      <c r="EI468" s="33"/>
      <c r="EJ468" s="33"/>
      <c r="EK468" s="33"/>
      <c r="EL468" s="33"/>
      <c r="EM468" s="33"/>
      <c r="EN468" s="33"/>
      <c r="EO468" s="33"/>
      <c r="EP468" s="33"/>
      <c r="EQ468" s="33"/>
      <c r="ER468" s="33"/>
      <c r="ES468" s="33"/>
      <c r="ET468" s="33"/>
      <c r="EU468" s="33"/>
      <c r="EV468" s="33"/>
      <c r="EW468" s="33"/>
      <c r="EX468" s="33"/>
      <c r="EY468" s="33"/>
    </row>
    <row r="469" spans="44:155" x14ac:dyDescent="0.3">
      <c r="AR469" s="1"/>
      <c r="AS469" s="1"/>
      <c r="AT469" s="1"/>
      <c r="AU469" s="1"/>
      <c r="AV469" s="1"/>
      <c r="AW469" s="1"/>
      <c r="DS469" s="33"/>
      <c r="DT469" s="33"/>
      <c r="DU469" s="33"/>
      <c r="DV469" s="33"/>
      <c r="DW469" s="33"/>
      <c r="DX469" s="33"/>
      <c r="DY469" s="33"/>
      <c r="DZ469" s="33"/>
      <c r="EA469" s="33"/>
      <c r="EB469" s="33"/>
      <c r="EC469" s="33"/>
      <c r="ED469" s="33"/>
      <c r="EE469" s="33"/>
      <c r="EF469" s="33"/>
      <c r="EG469" s="33"/>
      <c r="EH469" s="33"/>
      <c r="EI469" s="33"/>
      <c r="EJ469" s="33"/>
      <c r="EK469" s="33"/>
      <c r="EL469" s="33"/>
      <c r="EM469" s="33"/>
      <c r="EN469" s="33"/>
      <c r="EO469" s="33"/>
      <c r="EP469" s="33"/>
      <c r="EQ469" s="33"/>
      <c r="ER469" s="33"/>
      <c r="ES469" s="33"/>
      <c r="ET469" s="33"/>
      <c r="EU469" s="33"/>
      <c r="EV469" s="33"/>
      <c r="EW469" s="33"/>
      <c r="EX469" s="33"/>
      <c r="EY469" s="33"/>
    </row>
    <row r="470" spans="44:155" x14ac:dyDescent="0.3">
      <c r="AR470" s="1"/>
      <c r="AS470" s="1"/>
      <c r="AT470" s="1"/>
      <c r="AU470" s="1"/>
      <c r="AV470" s="1"/>
      <c r="AW470" s="1"/>
      <c r="DS470" s="33"/>
      <c r="DT470" s="33"/>
      <c r="DU470" s="33"/>
      <c r="DV470" s="33"/>
      <c r="DW470" s="33"/>
      <c r="DX470" s="33"/>
      <c r="DY470" s="33"/>
      <c r="DZ470" s="33"/>
      <c r="EA470" s="33"/>
      <c r="EB470" s="33"/>
      <c r="EC470" s="33"/>
      <c r="ED470" s="33"/>
      <c r="EE470" s="33"/>
      <c r="EF470" s="33"/>
      <c r="EG470" s="33"/>
      <c r="EH470" s="33"/>
      <c r="EI470" s="33"/>
      <c r="EJ470" s="33"/>
      <c r="EK470" s="33"/>
      <c r="EL470" s="33"/>
      <c r="EM470" s="33"/>
      <c r="EN470" s="33"/>
      <c r="EO470" s="33"/>
      <c r="EP470" s="33"/>
      <c r="EQ470" s="33"/>
      <c r="ER470" s="33"/>
      <c r="ES470" s="33"/>
      <c r="ET470" s="33"/>
      <c r="EU470" s="33"/>
      <c r="EV470" s="33"/>
      <c r="EW470" s="33"/>
      <c r="EX470" s="33"/>
      <c r="EY470" s="33"/>
    </row>
    <row r="471" spans="44:155" x14ac:dyDescent="0.3">
      <c r="AR471" s="1"/>
      <c r="AS471" s="1"/>
      <c r="AT471" s="1"/>
      <c r="AU471" s="1"/>
      <c r="AV471" s="1"/>
      <c r="AW471" s="1"/>
      <c r="DS471" s="33"/>
      <c r="DT471" s="33"/>
      <c r="DU471" s="33"/>
      <c r="DV471" s="33"/>
      <c r="DW471" s="33"/>
      <c r="DX471" s="33"/>
      <c r="DY471" s="33"/>
      <c r="DZ471" s="33"/>
      <c r="EA471" s="33"/>
      <c r="EB471" s="33"/>
      <c r="EC471" s="33"/>
      <c r="ED471" s="33"/>
      <c r="EE471" s="33"/>
      <c r="EF471" s="33"/>
      <c r="EG471" s="33"/>
      <c r="EH471" s="33"/>
      <c r="EI471" s="33"/>
      <c r="EJ471" s="33"/>
      <c r="EK471" s="33"/>
      <c r="EL471" s="33"/>
      <c r="EM471" s="33"/>
      <c r="EN471" s="33"/>
      <c r="EO471" s="33"/>
      <c r="EP471" s="33"/>
      <c r="EQ471" s="33"/>
      <c r="ER471" s="33"/>
      <c r="ES471" s="33"/>
      <c r="ET471" s="33"/>
      <c r="EU471" s="33"/>
      <c r="EV471" s="33"/>
      <c r="EW471" s="33"/>
      <c r="EX471" s="33"/>
      <c r="EY471" s="33"/>
    </row>
    <row r="472" spans="44:155" x14ac:dyDescent="0.3">
      <c r="AR472" s="1"/>
      <c r="AS472" s="1"/>
      <c r="AT472" s="1"/>
      <c r="AU472" s="1"/>
      <c r="AV472" s="1"/>
      <c r="AW472" s="1"/>
      <c r="DS472" s="33"/>
      <c r="DT472" s="33"/>
      <c r="DU472" s="33"/>
      <c r="DV472" s="33"/>
      <c r="DW472" s="33"/>
      <c r="DX472" s="33"/>
      <c r="DY472" s="33"/>
      <c r="DZ472" s="33"/>
      <c r="EA472" s="33"/>
      <c r="EB472" s="33"/>
      <c r="EC472" s="33"/>
      <c r="ED472" s="33"/>
      <c r="EE472" s="33"/>
      <c r="EF472" s="33"/>
      <c r="EG472" s="33"/>
      <c r="EH472" s="33"/>
      <c r="EI472" s="33"/>
      <c r="EJ472" s="33"/>
      <c r="EK472" s="33"/>
      <c r="EL472" s="33"/>
      <c r="EM472" s="33"/>
      <c r="EN472" s="33"/>
      <c r="EO472" s="33"/>
      <c r="EP472" s="33"/>
      <c r="EQ472" s="33"/>
      <c r="ER472" s="33"/>
      <c r="ES472" s="33"/>
      <c r="ET472" s="33"/>
      <c r="EU472" s="33"/>
      <c r="EV472" s="33"/>
      <c r="EW472" s="33"/>
      <c r="EX472" s="33"/>
      <c r="EY472" s="33"/>
    </row>
    <row r="473" spans="44:155" x14ac:dyDescent="0.3">
      <c r="AR473" s="1"/>
      <c r="AS473" s="1"/>
      <c r="AT473" s="1"/>
      <c r="AU473" s="1"/>
      <c r="AV473" s="1"/>
      <c r="AW473" s="1"/>
      <c r="DS473" s="33"/>
      <c r="DT473" s="33"/>
      <c r="DU473" s="33"/>
      <c r="DV473" s="33"/>
      <c r="DW473" s="33"/>
      <c r="DX473" s="33"/>
      <c r="DY473" s="33"/>
      <c r="DZ473" s="33"/>
      <c r="EA473" s="33"/>
      <c r="EB473" s="33"/>
      <c r="EC473" s="33"/>
      <c r="ED473" s="33"/>
      <c r="EE473" s="33"/>
      <c r="EF473" s="33"/>
      <c r="EG473" s="33"/>
      <c r="EH473" s="33"/>
      <c r="EI473" s="33"/>
      <c r="EJ473" s="33"/>
      <c r="EK473" s="33"/>
      <c r="EL473" s="33"/>
      <c r="EM473" s="33"/>
      <c r="EN473" s="33"/>
      <c r="EO473" s="33"/>
      <c r="EP473" s="33"/>
      <c r="EQ473" s="33"/>
      <c r="ER473" s="33"/>
      <c r="ES473" s="33"/>
      <c r="ET473" s="33"/>
      <c r="EU473" s="33"/>
      <c r="EV473" s="33"/>
      <c r="EW473" s="33"/>
      <c r="EX473" s="33"/>
      <c r="EY473" s="33"/>
    </row>
    <row r="474" spans="44:155" x14ac:dyDescent="0.3">
      <c r="AR474" s="1"/>
      <c r="AS474" s="1"/>
      <c r="AT474" s="1"/>
      <c r="AU474" s="1"/>
      <c r="AV474" s="1"/>
      <c r="AW474" s="1"/>
      <c r="DS474" s="33"/>
      <c r="DT474" s="33"/>
      <c r="DU474" s="33"/>
      <c r="DV474" s="33"/>
      <c r="DW474" s="33"/>
      <c r="DX474" s="33"/>
      <c r="DY474" s="33"/>
      <c r="DZ474" s="33"/>
      <c r="EA474" s="33"/>
      <c r="EB474" s="33"/>
      <c r="EC474" s="33"/>
      <c r="ED474" s="33"/>
      <c r="EE474" s="33"/>
      <c r="EF474" s="33"/>
      <c r="EG474" s="33"/>
      <c r="EH474" s="33"/>
      <c r="EI474" s="33"/>
      <c r="EJ474" s="33"/>
      <c r="EK474" s="33"/>
      <c r="EL474" s="33"/>
      <c r="EM474" s="33"/>
      <c r="EN474" s="33"/>
      <c r="EO474" s="33"/>
      <c r="EP474" s="33"/>
      <c r="EQ474" s="33"/>
      <c r="ER474" s="33"/>
      <c r="ES474" s="33"/>
      <c r="ET474" s="33"/>
      <c r="EU474" s="33"/>
      <c r="EV474" s="33"/>
      <c r="EW474" s="33"/>
      <c r="EX474" s="33"/>
      <c r="EY474" s="33"/>
    </row>
    <row r="475" spans="44:155" x14ac:dyDescent="0.3">
      <c r="AR475" s="1"/>
      <c r="AS475" s="1"/>
      <c r="AT475" s="1"/>
      <c r="AU475" s="1"/>
      <c r="AV475" s="1"/>
      <c r="AW475" s="1"/>
      <c r="DS475" s="33"/>
      <c r="DT475" s="33"/>
      <c r="DU475" s="33"/>
      <c r="DV475" s="33"/>
      <c r="DW475" s="33"/>
      <c r="DX475" s="33"/>
      <c r="DY475" s="33"/>
      <c r="DZ475" s="33"/>
      <c r="EA475" s="33"/>
      <c r="EB475" s="33"/>
      <c r="EC475" s="33"/>
      <c r="ED475" s="33"/>
      <c r="EE475" s="33"/>
      <c r="EF475" s="33"/>
      <c r="EG475" s="33"/>
      <c r="EH475" s="33"/>
      <c r="EI475" s="33"/>
      <c r="EJ475" s="33"/>
      <c r="EK475" s="33"/>
      <c r="EL475" s="33"/>
      <c r="EM475" s="33"/>
      <c r="EN475" s="33"/>
      <c r="EO475" s="33"/>
      <c r="EP475" s="33"/>
      <c r="EQ475" s="33"/>
      <c r="ER475" s="33"/>
      <c r="ES475" s="33"/>
      <c r="ET475" s="33"/>
      <c r="EU475" s="33"/>
      <c r="EV475" s="33"/>
      <c r="EW475" s="33"/>
      <c r="EX475" s="33"/>
      <c r="EY475" s="33"/>
    </row>
    <row r="476" spans="44:155" x14ac:dyDescent="0.3">
      <c r="AR476" s="1"/>
      <c r="AS476" s="1"/>
      <c r="AT476" s="1"/>
      <c r="AU476" s="1"/>
      <c r="AV476" s="1"/>
      <c r="AW476" s="1"/>
      <c r="DS476" s="33"/>
      <c r="DT476" s="33"/>
      <c r="DU476" s="33"/>
      <c r="DV476" s="33"/>
      <c r="DW476" s="33"/>
      <c r="DX476" s="33"/>
      <c r="DY476" s="33"/>
      <c r="DZ476" s="33"/>
      <c r="EA476" s="33"/>
      <c r="EB476" s="33"/>
      <c r="EC476" s="33"/>
      <c r="ED476" s="33"/>
      <c r="EE476" s="33"/>
      <c r="EF476" s="33"/>
      <c r="EG476" s="33"/>
      <c r="EH476" s="33"/>
      <c r="EI476" s="33"/>
      <c r="EJ476" s="33"/>
      <c r="EK476" s="33"/>
      <c r="EL476" s="33"/>
      <c r="EM476" s="33"/>
      <c r="EN476" s="33"/>
      <c r="EO476" s="33"/>
      <c r="EP476" s="33"/>
      <c r="EQ476" s="33"/>
      <c r="ER476" s="33"/>
      <c r="ES476" s="33"/>
      <c r="ET476" s="33"/>
      <c r="EU476" s="33"/>
      <c r="EV476" s="33"/>
      <c r="EW476" s="33"/>
      <c r="EX476" s="33"/>
      <c r="EY476" s="33"/>
    </row>
    <row r="477" spans="44:155" x14ac:dyDescent="0.3">
      <c r="AR477" s="1"/>
      <c r="AS477" s="1"/>
      <c r="AT477" s="1"/>
      <c r="AU477" s="1"/>
      <c r="AV477" s="1"/>
      <c r="AW477" s="1"/>
      <c r="DS477" s="33"/>
      <c r="DT477" s="33"/>
      <c r="DU477" s="33"/>
      <c r="DV477" s="33"/>
      <c r="DW477" s="33"/>
      <c r="DX477" s="33"/>
      <c r="DY477" s="33"/>
      <c r="DZ477" s="33"/>
      <c r="EA477" s="33"/>
      <c r="EB477" s="33"/>
      <c r="EC477" s="33"/>
      <c r="ED477" s="33"/>
      <c r="EE477" s="33"/>
      <c r="EF477" s="33"/>
      <c r="EG477" s="33"/>
      <c r="EH477" s="33"/>
      <c r="EI477" s="33"/>
      <c r="EJ477" s="33"/>
      <c r="EK477" s="33"/>
      <c r="EL477" s="33"/>
      <c r="EM477" s="33"/>
      <c r="EN477" s="33"/>
      <c r="EO477" s="33"/>
      <c r="EP477" s="33"/>
      <c r="EQ477" s="33"/>
      <c r="ER477" s="33"/>
      <c r="ES477" s="33"/>
      <c r="ET477" s="33"/>
      <c r="EU477" s="33"/>
      <c r="EV477" s="33"/>
      <c r="EW477" s="33"/>
      <c r="EX477" s="33"/>
      <c r="EY477" s="33"/>
    </row>
    <row r="478" spans="44:155" x14ac:dyDescent="0.3">
      <c r="AR478" s="1"/>
      <c r="AS478" s="1"/>
      <c r="AT478" s="1"/>
      <c r="AU478" s="1"/>
      <c r="AV478" s="1"/>
      <c r="AW478" s="1"/>
      <c r="DS478" s="33"/>
      <c r="DT478" s="33"/>
      <c r="DU478" s="33"/>
      <c r="DV478" s="33"/>
      <c r="DW478" s="33"/>
      <c r="DX478" s="33"/>
      <c r="DY478" s="33"/>
      <c r="DZ478" s="33"/>
      <c r="EA478" s="33"/>
      <c r="EB478" s="33"/>
      <c r="EC478" s="33"/>
      <c r="ED478" s="33"/>
      <c r="EE478" s="33"/>
      <c r="EF478" s="33"/>
      <c r="EG478" s="33"/>
      <c r="EH478" s="33"/>
      <c r="EI478" s="33"/>
      <c r="EJ478" s="33"/>
      <c r="EK478" s="33"/>
      <c r="EL478" s="33"/>
      <c r="EM478" s="33"/>
      <c r="EN478" s="33"/>
      <c r="EO478" s="33"/>
      <c r="EP478" s="33"/>
      <c r="EQ478" s="33"/>
      <c r="ER478" s="33"/>
      <c r="ES478" s="33"/>
      <c r="ET478" s="33"/>
      <c r="EU478" s="33"/>
      <c r="EV478" s="33"/>
      <c r="EW478" s="33"/>
      <c r="EX478" s="33"/>
      <c r="EY478" s="33"/>
    </row>
    <row r="479" spans="44:155" x14ac:dyDescent="0.3">
      <c r="AR479" s="1"/>
      <c r="AS479" s="1"/>
      <c r="AT479" s="1"/>
      <c r="AU479" s="1"/>
      <c r="AV479" s="1"/>
      <c r="AW479" s="1"/>
      <c r="DS479" s="33"/>
      <c r="DT479" s="33"/>
      <c r="DU479" s="33"/>
      <c r="DV479" s="33"/>
      <c r="DW479" s="33"/>
      <c r="DX479" s="33"/>
      <c r="DY479" s="33"/>
      <c r="DZ479" s="33"/>
      <c r="EA479" s="33"/>
      <c r="EB479" s="33"/>
      <c r="EC479" s="33"/>
      <c r="ED479" s="33"/>
      <c r="EE479" s="33"/>
      <c r="EF479" s="33"/>
      <c r="EG479" s="33"/>
      <c r="EH479" s="33"/>
      <c r="EI479" s="33"/>
      <c r="EJ479" s="33"/>
      <c r="EK479" s="33"/>
      <c r="EL479" s="33"/>
      <c r="EM479" s="33"/>
      <c r="EN479" s="33"/>
      <c r="EO479" s="33"/>
      <c r="EP479" s="33"/>
      <c r="EQ479" s="33"/>
      <c r="ER479" s="33"/>
      <c r="ES479" s="33"/>
      <c r="ET479" s="33"/>
      <c r="EU479" s="33"/>
      <c r="EV479" s="33"/>
      <c r="EW479" s="33"/>
      <c r="EX479" s="33"/>
      <c r="EY479" s="33"/>
    </row>
    <row r="480" spans="44:155" x14ac:dyDescent="0.3">
      <c r="AR480" s="1"/>
      <c r="AS480" s="1"/>
      <c r="AT480" s="1"/>
      <c r="AU480" s="1"/>
      <c r="AV480" s="1"/>
      <c r="AW480" s="1"/>
      <c r="DS480" s="33"/>
      <c r="DT480" s="33"/>
      <c r="DU480" s="33"/>
      <c r="DV480" s="33"/>
      <c r="DW480" s="33"/>
      <c r="DX480" s="33"/>
      <c r="DY480" s="33"/>
      <c r="DZ480" s="33"/>
      <c r="EA480" s="33"/>
      <c r="EB480" s="33"/>
      <c r="EC480" s="33"/>
      <c r="ED480" s="33"/>
      <c r="EE480" s="33"/>
      <c r="EF480" s="33"/>
      <c r="EG480" s="33"/>
      <c r="EH480" s="33"/>
      <c r="EI480" s="33"/>
      <c r="EJ480" s="33"/>
      <c r="EK480" s="33"/>
      <c r="EL480" s="33"/>
      <c r="EM480" s="33"/>
      <c r="EN480" s="33"/>
      <c r="EO480" s="33"/>
      <c r="EP480" s="33"/>
      <c r="EQ480" s="33"/>
      <c r="ER480" s="33"/>
      <c r="ES480" s="33"/>
      <c r="ET480" s="33"/>
      <c r="EU480" s="33"/>
      <c r="EV480" s="33"/>
      <c r="EW480" s="33"/>
      <c r="EX480" s="33"/>
      <c r="EY480" s="33"/>
    </row>
    <row r="481" spans="44:155" x14ac:dyDescent="0.3">
      <c r="AR481" s="1"/>
      <c r="AS481" s="1"/>
      <c r="AT481" s="1"/>
      <c r="AU481" s="1"/>
      <c r="AV481" s="1"/>
      <c r="AW481" s="1"/>
      <c r="DS481" s="33"/>
      <c r="DT481" s="33"/>
      <c r="DU481" s="33"/>
      <c r="DV481" s="33"/>
      <c r="DW481" s="33"/>
      <c r="DX481" s="33"/>
      <c r="DY481" s="33"/>
      <c r="DZ481" s="33"/>
      <c r="EA481" s="33"/>
      <c r="EB481" s="33"/>
      <c r="EC481" s="33"/>
      <c r="ED481" s="33"/>
      <c r="EE481" s="33"/>
      <c r="EF481" s="33"/>
      <c r="EG481" s="33"/>
      <c r="EH481" s="33"/>
      <c r="EI481" s="33"/>
      <c r="EJ481" s="33"/>
      <c r="EK481" s="33"/>
      <c r="EL481" s="33"/>
      <c r="EM481" s="33"/>
      <c r="EN481" s="33"/>
      <c r="EO481" s="33"/>
      <c r="EP481" s="33"/>
      <c r="EQ481" s="33"/>
      <c r="ER481" s="33"/>
      <c r="ES481" s="33"/>
      <c r="ET481" s="33"/>
      <c r="EU481" s="33"/>
      <c r="EV481" s="33"/>
      <c r="EW481" s="33"/>
      <c r="EX481" s="33"/>
      <c r="EY481" s="33"/>
    </row>
    <row r="482" spans="44:155" x14ac:dyDescent="0.3">
      <c r="AR482" s="1"/>
      <c r="AS482" s="1"/>
      <c r="AT482" s="1"/>
      <c r="AU482" s="1"/>
      <c r="AV482" s="1"/>
      <c r="AW482" s="1"/>
      <c r="DS482" s="33"/>
      <c r="DT482" s="33"/>
      <c r="DU482" s="33"/>
      <c r="DV482" s="33"/>
      <c r="DW482" s="33"/>
      <c r="DX482" s="33"/>
      <c r="DY482" s="33"/>
      <c r="DZ482" s="33"/>
      <c r="EA482" s="33"/>
      <c r="EB482" s="33"/>
      <c r="EC482" s="33"/>
      <c r="ED482" s="33"/>
      <c r="EE482" s="33"/>
      <c r="EF482" s="33"/>
      <c r="EG482" s="33"/>
      <c r="EH482" s="33"/>
      <c r="EI482" s="33"/>
      <c r="EJ482" s="33"/>
      <c r="EK482" s="33"/>
      <c r="EL482" s="33"/>
      <c r="EM482" s="33"/>
      <c r="EN482" s="33"/>
      <c r="EO482" s="33"/>
      <c r="EP482" s="33"/>
      <c r="EQ482" s="33"/>
      <c r="ER482" s="33"/>
      <c r="ES482" s="33"/>
      <c r="ET482" s="33"/>
      <c r="EU482" s="33"/>
      <c r="EV482" s="33"/>
      <c r="EW482" s="33"/>
      <c r="EX482" s="33"/>
      <c r="EY482" s="33"/>
    </row>
    <row r="483" spans="44:155" x14ac:dyDescent="0.3">
      <c r="AR483" s="1"/>
      <c r="AS483" s="1"/>
      <c r="AT483" s="1"/>
      <c r="AU483" s="1"/>
      <c r="AV483" s="1"/>
      <c r="AW483" s="1"/>
      <c r="DS483" s="33"/>
      <c r="DT483" s="33"/>
      <c r="DU483" s="33"/>
      <c r="DV483" s="33"/>
      <c r="DW483" s="33"/>
      <c r="DX483" s="33"/>
      <c r="DY483" s="33"/>
      <c r="DZ483" s="33"/>
      <c r="EA483" s="33"/>
      <c r="EB483" s="33"/>
      <c r="EC483" s="33"/>
      <c r="ED483" s="33"/>
      <c r="EE483" s="33"/>
      <c r="EF483" s="33"/>
      <c r="EG483" s="33"/>
      <c r="EH483" s="33"/>
      <c r="EI483" s="33"/>
      <c r="EJ483" s="33"/>
      <c r="EK483" s="33"/>
      <c r="EL483" s="33"/>
      <c r="EM483" s="33"/>
      <c r="EN483" s="33"/>
      <c r="EO483" s="33"/>
      <c r="EP483" s="33"/>
      <c r="EQ483" s="33"/>
      <c r="ER483" s="33"/>
      <c r="ES483" s="33"/>
      <c r="ET483" s="33"/>
      <c r="EU483" s="33"/>
      <c r="EV483" s="33"/>
      <c r="EW483" s="33"/>
      <c r="EX483" s="33"/>
      <c r="EY483" s="33"/>
    </row>
    <row r="484" spans="44:155" x14ac:dyDescent="0.3">
      <c r="AR484" s="1"/>
      <c r="AS484" s="1"/>
      <c r="AT484" s="1"/>
      <c r="AU484" s="1"/>
      <c r="AV484" s="1"/>
      <c r="AW484" s="1"/>
      <c r="DS484" s="33"/>
      <c r="DT484" s="33"/>
      <c r="DU484" s="33"/>
      <c r="DV484" s="33"/>
      <c r="DW484" s="33"/>
      <c r="DX484" s="33"/>
      <c r="DY484" s="33"/>
      <c r="DZ484" s="33"/>
      <c r="EA484" s="33"/>
      <c r="EB484" s="33"/>
      <c r="EC484" s="33"/>
      <c r="ED484" s="33"/>
      <c r="EE484" s="33"/>
      <c r="EF484" s="33"/>
      <c r="EG484" s="33"/>
      <c r="EH484" s="33"/>
      <c r="EI484" s="33"/>
      <c r="EJ484" s="33"/>
      <c r="EK484" s="33"/>
      <c r="EL484" s="33"/>
      <c r="EM484" s="33"/>
      <c r="EN484" s="33"/>
      <c r="EO484" s="33"/>
      <c r="EP484" s="33"/>
      <c r="EQ484" s="33"/>
      <c r="ER484" s="33"/>
      <c r="ES484" s="33"/>
      <c r="ET484" s="33"/>
      <c r="EU484" s="33"/>
      <c r="EV484" s="33"/>
      <c r="EW484" s="33"/>
      <c r="EX484" s="33"/>
      <c r="EY484" s="33"/>
    </row>
    <row r="485" spans="44:155" x14ac:dyDescent="0.3">
      <c r="AR485" s="1"/>
      <c r="AS485" s="1"/>
      <c r="AT485" s="1"/>
      <c r="AU485" s="1"/>
      <c r="AV485" s="1"/>
      <c r="AW485" s="1"/>
      <c r="DS485" s="33"/>
      <c r="DT485" s="33"/>
      <c r="DU485" s="33"/>
      <c r="DV485" s="33"/>
      <c r="DW485" s="33"/>
      <c r="DX485" s="33"/>
      <c r="DY485" s="33"/>
      <c r="DZ485" s="33"/>
      <c r="EA485" s="33"/>
      <c r="EB485" s="33"/>
      <c r="EC485" s="33"/>
      <c r="ED485" s="33"/>
      <c r="EE485" s="33"/>
      <c r="EF485" s="33"/>
      <c r="EG485" s="33"/>
      <c r="EH485" s="33"/>
      <c r="EI485" s="33"/>
      <c r="EJ485" s="33"/>
      <c r="EK485" s="33"/>
      <c r="EL485" s="33"/>
      <c r="EM485" s="33"/>
      <c r="EN485" s="33"/>
      <c r="EO485" s="33"/>
      <c r="EP485" s="33"/>
      <c r="EQ485" s="33"/>
      <c r="ER485" s="33"/>
      <c r="ES485" s="33"/>
      <c r="ET485" s="33"/>
      <c r="EU485" s="33"/>
      <c r="EV485" s="33"/>
      <c r="EW485" s="33"/>
      <c r="EX485" s="33"/>
      <c r="EY485" s="33"/>
    </row>
    <row r="486" spans="44:155" x14ac:dyDescent="0.3">
      <c r="AR486" s="1"/>
      <c r="AS486" s="1"/>
      <c r="AT486" s="1"/>
      <c r="AU486" s="1"/>
      <c r="AV486" s="1"/>
      <c r="AW486" s="1"/>
      <c r="DS486" s="33"/>
      <c r="DT486" s="33"/>
      <c r="DU486" s="33"/>
      <c r="DV486" s="33"/>
      <c r="DW486" s="33"/>
      <c r="DX486" s="33"/>
      <c r="DY486" s="33"/>
      <c r="DZ486" s="33"/>
      <c r="EA486" s="33"/>
      <c r="EB486" s="33"/>
      <c r="EC486" s="33"/>
      <c r="ED486" s="33"/>
      <c r="EE486" s="33"/>
      <c r="EF486" s="33"/>
      <c r="EG486" s="33"/>
      <c r="EH486" s="33"/>
      <c r="EI486" s="33"/>
      <c r="EJ486" s="33"/>
      <c r="EK486" s="33"/>
      <c r="EL486" s="33"/>
      <c r="EM486" s="33"/>
      <c r="EN486" s="33"/>
      <c r="EO486" s="33"/>
      <c r="EP486" s="33"/>
      <c r="EQ486" s="33"/>
      <c r="ER486" s="33"/>
      <c r="ES486" s="33"/>
      <c r="ET486" s="33"/>
      <c r="EU486" s="33"/>
      <c r="EV486" s="33"/>
      <c r="EW486" s="33"/>
      <c r="EX486" s="33"/>
      <c r="EY486" s="33"/>
    </row>
    <row r="487" spans="44:155" x14ac:dyDescent="0.3">
      <c r="AR487" s="1"/>
      <c r="AS487" s="1"/>
      <c r="AT487" s="1"/>
      <c r="AU487" s="1"/>
      <c r="AV487" s="1"/>
      <c r="AW487" s="1"/>
      <c r="DS487" s="33"/>
      <c r="DT487" s="33"/>
      <c r="DU487" s="33"/>
      <c r="DV487" s="33"/>
      <c r="DW487" s="33"/>
      <c r="DX487" s="33"/>
      <c r="DY487" s="33"/>
      <c r="DZ487" s="33"/>
      <c r="EA487" s="33"/>
      <c r="EB487" s="33"/>
      <c r="EC487" s="33"/>
      <c r="ED487" s="33"/>
      <c r="EE487" s="33"/>
      <c r="EF487" s="33"/>
      <c r="EG487" s="33"/>
      <c r="EH487" s="33"/>
      <c r="EI487" s="33"/>
      <c r="EJ487" s="33"/>
      <c r="EK487" s="33"/>
      <c r="EL487" s="33"/>
      <c r="EM487" s="33"/>
      <c r="EN487" s="33"/>
      <c r="EO487" s="33"/>
      <c r="EP487" s="33"/>
      <c r="EQ487" s="33"/>
      <c r="ER487" s="33"/>
      <c r="ES487" s="33"/>
      <c r="ET487" s="33"/>
      <c r="EU487" s="33"/>
      <c r="EV487" s="33"/>
      <c r="EW487" s="33"/>
      <c r="EX487" s="33"/>
      <c r="EY487" s="33"/>
    </row>
    <row r="488" spans="44:155" x14ac:dyDescent="0.3">
      <c r="AR488" s="1"/>
      <c r="AS488" s="1"/>
      <c r="AT488" s="1"/>
      <c r="AU488" s="1"/>
      <c r="AV488" s="1"/>
      <c r="AW488" s="1"/>
      <c r="DS488" s="33"/>
      <c r="DT488" s="33"/>
      <c r="DU488" s="33"/>
      <c r="DV488" s="33"/>
      <c r="DW488" s="33"/>
      <c r="DX488" s="33"/>
      <c r="DY488" s="33"/>
      <c r="DZ488" s="33"/>
      <c r="EA488" s="33"/>
      <c r="EB488" s="33"/>
      <c r="EC488" s="33"/>
      <c r="ED488" s="33"/>
      <c r="EE488" s="33"/>
      <c r="EF488" s="33"/>
      <c r="EG488" s="33"/>
      <c r="EH488" s="33"/>
      <c r="EI488" s="33"/>
      <c r="EJ488" s="33"/>
      <c r="EK488" s="33"/>
      <c r="EL488" s="33"/>
      <c r="EM488" s="33"/>
      <c r="EN488" s="33"/>
      <c r="EO488" s="33"/>
      <c r="EP488" s="33"/>
      <c r="EQ488" s="33"/>
      <c r="ER488" s="33"/>
      <c r="ES488" s="33"/>
      <c r="ET488" s="33"/>
      <c r="EU488" s="33"/>
      <c r="EV488" s="33"/>
      <c r="EW488" s="33"/>
      <c r="EX488" s="33"/>
      <c r="EY488" s="33"/>
    </row>
    <row r="489" spans="44:155" x14ac:dyDescent="0.3">
      <c r="AR489" s="1"/>
      <c r="AS489" s="1"/>
      <c r="AT489" s="1"/>
      <c r="AU489" s="1"/>
      <c r="AV489" s="1"/>
      <c r="AW489" s="1"/>
      <c r="DS489" s="33"/>
      <c r="DT489" s="33"/>
      <c r="DU489" s="33"/>
      <c r="DV489" s="33"/>
      <c r="DW489" s="33"/>
      <c r="DX489" s="33"/>
      <c r="DY489" s="33"/>
      <c r="DZ489" s="33"/>
      <c r="EA489" s="33"/>
      <c r="EB489" s="33"/>
      <c r="EC489" s="33"/>
      <c r="ED489" s="33"/>
      <c r="EE489" s="33"/>
      <c r="EF489" s="33"/>
      <c r="EG489" s="33"/>
      <c r="EH489" s="33"/>
      <c r="EI489" s="33"/>
      <c r="EJ489" s="33"/>
      <c r="EK489" s="33"/>
      <c r="EL489" s="33"/>
      <c r="EM489" s="33"/>
      <c r="EN489" s="33"/>
      <c r="EO489" s="33"/>
      <c r="EP489" s="33"/>
      <c r="EQ489" s="33"/>
      <c r="ER489" s="33"/>
      <c r="ES489" s="33"/>
      <c r="ET489" s="33"/>
      <c r="EU489" s="33"/>
      <c r="EV489" s="33"/>
      <c r="EW489" s="33"/>
      <c r="EX489" s="33"/>
      <c r="EY489" s="33"/>
    </row>
    <row r="490" spans="44:155" x14ac:dyDescent="0.3">
      <c r="AR490" s="1"/>
      <c r="AS490" s="1"/>
      <c r="AT490" s="1"/>
      <c r="AU490" s="1"/>
      <c r="AV490" s="1"/>
      <c r="AW490" s="1"/>
      <c r="DS490" s="33"/>
      <c r="DT490" s="33"/>
      <c r="DU490" s="33"/>
      <c r="DV490" s="33"/>
      <c r="DW490" s="33"/>
      <c r="DX490" s="33"/>
      <c r="DY490" s="33"/>
      <c r="DZ490" s="33"/>
      <c r="EA490" s="33"/>
      <c r="EB490" s="33"/>
      <c r="EC490" s="33"/>
      <c r="ED490" s="33"/>
      <c r="EE490" s="33"/>
      <c r="EF490" s="33"/>
      <c r="EG490" s="33"/>
      <c r="EH490" s="33"/>
      <c r="EI490" s="33"/>
      <c r="EJ490" s="33"/>
      <c r="EK490" s="33"/>
      <c r="EL490" s="33"/>
      <c r="EM490" s="33"/>
      <c r="EN490" s="33"/>
      <c r="EO490" s="33"/>
      <c r="EP490" s="33"/>
      <c r="EQ490" s="33"/>
      <c r="ER490" s="33"/>
      <c r="ES490" s="33"/>
      <c r="ET490" s="33"/>
      <c r="EU490" s="33"/>
      <c r="EV490" s="33"/>
      <c r="EW490" s="33"/>
      <c r="EX490" s="33"/>
      <c r="EY490" s="33"/>
    </row>
    <row r="491" spans="44:155" x14ac:dyDescent="0.3">
      <c r="AR491" s="1"/>
      <c r="AS491" s="1"/>
      <c r="AT491" s="1"/>
      <c r="AU491" s="1"/>
      <c r="AV491" s="1"/>
      <c r="AW491" s="1"/>
      <c r="DS491" s="33"/>
      <c r="DT491" s="33"/>
      <c r="DU491" s="33"/>
      <c r="DV491" s="33"/>
      <c r="DW491" s="33"/>
      <c r="DX491" s="33"/>
      <c r="DY491" s="33"/>
      <c r="DZ491" s="33"/>
      <c r="EA491" s="33"/>
      <c r="EB491" s="33"/>
      <c r="EC491" s="33"/>
      <c r="ED491" s="33"/>
      <c r="EE491" s="33"/>
      <c r="EF491" s="33"/>
      <c r="EG491" s="33"/>
      <c r="EH491" s="33"/>
      <c r="EI491" s="33"/>
      <c r="EJ491" s="33"/>
      <c r="EK491" s="33"/>
      <c r="EL491" s="33"/>
      <c r="EM491" s="33"/>
      <c r="EN491" s="33"/>
      <c r="EO491" s="33"/>
      <c r="EP491" s="33"/>
      <c r="EQ491" s="33"/>
      <c r="ER491" s="33"/>
      <c r="ES491" s="33"/>
      <c r="ET491" s="33"/>
      <c r="EU491" s="33"/>
      <c r="EV491" s="33"/>
      <c r="EW491" s="33"/>
      <c r="EX491" s="33"/>
      <c r="EY491" s="33"/>
    </row>
    <row r="492" spans="44:155" x14ac:dyDescent="0.3">
      <c r="AR492" s="1"/>
      <c r="AS492" s="1"/>
      <c r="AT492" s="1"/>
      <c r="AU492" s="1"/>
      <c r="AV492" s="1"/>
      <c r="AW492" s="1"/>
      <c r="DS492" s="33"/>
      <c r="DT492" s="33"/>
      <c r="DU492" s="33"/>
      <c r="DV492" s="33"/>
      <c r="DW492" s="33"/>
      <c r="DX492" s="33"/>
      <c r="DY492" s="33"/>
      <c r="DZ492" s="33"/>
      <c r="EA492" s="33"/>
      <c r="EB492" s="33"/>
      <c r="EC492" s="33"/>
      <c r="ED492" s="33"/>
      <c r="EE492" s="33"/>
      <c r="EF492" s="33"/>
      <c r="EG492" s="33"/>
      <c r="EH492" s="33"/>
      <c r="EI492" s="33"/>
      <c r="EJ492" s="33"/>
      <c r="EK492" s="33"/>
      <c r="EL492" s="33"/>
      <c r="EM492" s="33"/>
      <c r="EN492" s="33"/>
      <c r="EO492" s="33"/>
      <c r="EP492" s="33"/>
      <c r="EQ492" s="33"/>
      <c r="ER492" s="33"/>
      <c r="ES492" s="33"/>
      <c r="ET492" s="33"/>
      <c r="EU492" s="33"/>
      <c r="EV492" s="33"/>
      <c r="EW492" s="33"/>
      <c r="EX492" s="33"/>
      <c r="EY492" s="33"/>
    </row>
    <row r="493" spans="44:155" x14ac:dyDescent="0.3">
      <c r="AR493" s="1"/>
      <c r="AS493" s="1"/>
      <c r="AT493" s="1"/>
      <c r="AU493" s="1"/>
      <c r="AV493" s="1"/>
      <c r="AW493" s="1"/>
      <c r="DS493" s="33"/>
      <c r="DT493" s="33"/>
      <c r="DU493" s="33"/>
      <c r="DV493" s="33"/>
      <c r="DW493" s="33"/>
      <c r="DX493" s="33"/>
      <c r="DY493" s="33"/>
      <c r="DZ493" s="33"/>
      <c r="EA493" s="33"/>
      <c r="EB493" s="33"/>
      <c r="EC493" s="33"/>
      <c r="ED493" s="33"/>
      <c r="EE493" s="33"/>
      <c r="EF493" s="33"/>
      <c r="EG493" s="33"/>
      <c r="EH493" s="33"/>
      <c r="EI493" s="33"/>
      <c r="EJ493" s="33"/>
      <c r="EK493" s="33"/>
      <c r="EL493" s="33"/>
      <c r="EM493" s="33"/>
      <c r="EN493" s="33"/>
      <c r="EO493" s="33"/>
      <c r="EP493" s="33"/>
      <c r="EQ493" s="33"/>
      <c r="ER493" s="33"/>
      <c r="ES493" s="33"/>
      <c r="ET493" s="33"/>
      <c r="EU493" s="33"/>
      <c r="EV493" s="33"/>
      <c r="EW493" s="33"/>
      <c r="EX493" s="33"/>
      <c r="EY493" s="33"/>
    </row>
    <row r="494" spans="44:155" x14ac:dyDescent="0.3">
      <c r="AR494" s="1"/>
      <c r="AS494" s="1"/>
      <c r="AT494" s="1"/>
      <c r="AU494" s="1"/>
      <c r="AV494" s="1"/>
      <c r="AW494" s="1"/>
      <c r="DS494" s="33"/>
      <c r="DT494" s="33"/>
      <c r="DU494" s="33"/>
      <c r="DV494" s="33"/>
      <c r="DW494" s="33"/>
      <c r="DX494" s="33"/>
      <c r="DY494" s="33"/>
      <c r="DZ494" s="33"/>
      <c r="EA494" s="33"/>
      <c r="EB494" s="33"/>
      <c r="EC494" s="33"/>
      <c r="ED494" s="33"/>
      <c r="EE494" s="33"/>
      <c r="EF494" s="33"/>
      <c r="EG494" s="33"/>
      <c r="EH494" s="33"/>
      <c r="EI494" s="33"/>
      <c r="EJ494" s="33"/>
      <c r="EK494" s="33"/>
      <c r="EL494" s="33"/>
      <c r="EM494" s="33"/>
      <c r="EN494" s="33"/>
      <c r="EO494" s="33"/>
      <c r="EP494" s="33"/>
      <c r="EQ494" s="33"/>
      <c r="ER494" s="33"/>
      <c r="ES494" s="33"/>
      <c r="ET494" s="33"/>
      <c r="EU494" s="33"/>
      <c r="EV494" s="33"/>
      <c r="EW494" s="33"/>
      <c r="EX494" s="33"/>
      <c r="EY494" s="33"/>
    </row>
    <row r="495" spans="44:155" x14ac:dyDescent="0.3">
      <c r="AR495" s="1"/>
      <c r="AS495" s="1"/>
      <c r="AT495" s="1"/>
      <c r="AU495" s="1"/>
      <c r="AV495" s="1"/>
      <c r="AW495" s="1"/>
      <c r="DS495" s="33"/>
      <c r="DT495" s="33"/>
      <c r="DU495" s="33"/>
      <c r="DV495" s="33"/>
      <c r="DW495" s="33"/>
      <c r="DX495" s="33"/>
      <c r="DY495" s="33"/>
      <c r="DZ495" s="33"/>
      <c r="EA495" s="33"/>
      <c r="EB495" s="33"/>
      <c r="EC495" s="33"/>
      <c r="ED495" s="33"/>
      <c r="EE495" s="33"/>
      <c r="EF495" s="33"/>
      <c r="EG495" s="33"/>
      <c r="EH495" s="33"/>
      <c r="EI495" s="33"/>
      <c r="EJ495" s="33"/>
      <c r="EK495" s="33"/>
      <c r="EL495" s="33"/>
      <c r="EM495" s="33"/>
      <c r="EN495" s="33"/>
      <c r="EO495" s="33"/>
      <c r="EP495" s="33"/>
      <c r="EQ495" s="33"/>
      <c r="ER495" s="33"/>
      <c r="ES495" s="33"/>
      <c r="ET495" s="33"/>
      <c r="EU495" s="33"/>
      <c r="EV495" s="33"/>
      <c r="EW495" s="33"/>
      <c r="EX495" s="33"/>
      <c r="EY495" s="33"/>
    </row>
    <row r="496" spans="44:155" x14ac:dyDescent="0.3">
      <c r="AR496" s="1"/>
      <c r="AS496" s="1"/>
      <c r="AT496" s="1"/>
      <c r="AU496" s="1"/>
      <c r="AV496" s="1"/>
      <c r="AW496" s="1"/>
      <c r="DS496" s="33"/>
      <c r="DT496" s="33"/>
      <c r="DU496" s="33"/>
      <c r="DV496" s="33"/>
      <c r="DW496" s="33"/>
      <c r="DX496" s="33"/>
      <c r="DY496" s="33"/>
      <c r="DZ496" s="33"/>
      <c r="EA496" s="33"/>
      <c r="EB496" s="33"/>
      <c r="EC496" s="33"/>
      <c r="ED496" s="33"/>
      <c r="EE496" s="33"/>
      <c r="EF496" s="33"/>
      <c r="EG496" s="33"/>
      <c r="EH496" s="33"/>
      <c r="EI496" s="33"/>
      <c r="EJ496" s="33"/>
      <c r="EK496" s="33"/>
      <c r="EL496" s="33"/>
      <c r="EM496" s="33"/>
      <c r="EN496" s="33"/>
      <c r="EO496" s="33"/>
      <c r="EP496" s="33"/>
      <c r="EQ496" s="33"/>
      <c r="ER496" s="33"/>
      <c r="ES496" s="33"/>
      <c r="ET496" s="33"/>
      <c r="EU496" s="33"/>
      <c r="EV496" s="33"/>
      <c r="EW496" s="33"/>
      <c r="EX496" s="33"/>
      <c r="EY496" s="33"/>
    </row>
    <row r="497" spans="44:155" x14ac:dyDescent="0.3">
      <c r="AR497" s="1"/>
      <c r="AS497" s="1"/>
      <c r="AT497" s="1"/>
      <c r="AU497" s="1"/>
      <c r="AV497" s="1"/>
      <c r="AW497" s="1"/>
      <c r="DS497" s="33"/>
      <c r="DT497" s="33"/>
      <c r="DU497" s="33"/>
      <c r="DV497" s="33"/>
      <c r="DW497" s="33"/>
      <c r="DX497" s="33"/>
      <c r="DY497" s="33"/>
      <c r="DZ497" s="33"/>
      <c r="EA497" s="33"/>
      <c r="EB497" s="33"/>
      <c r="EC497" s="33"/>
      <c r="ED497" s="33"/>
      <c r="EE497" s="33"/>
      <c r="EF497" s="33"/>
      <c r="EG497" s="33"/>
      <c r="EH497" s="33"/>
      <c r="EI497" s="33"/>
      <c r="EJ497" s="33"/>
      <c r="EK497" s="33"/>
      <c r="EL497" s="33"/>
      <c r="EM497" s="33"/>
      <c r="EN497" s="33"/>
      <c r="EO497" s="33"/>
      <c r="EP497" s="33"/>
      <c r="EQ497" s="33"/>
      <c r="ER497" s="33"/>
      <c r="ES497" s="33"/>
      <c r="ET497" s="33"/>
      <c r="EU497" s="33"/>
      <c r="EV497" s="33"/>
      <c r="EW497" s="33"/>
      <c r="EX497" s="33"/>
      <c r="EY497" s="33"/>
    </row>
    <row r="498" spans="44:155" x14ac:dyDescent="0.3">
      <c r="AR498" s="1"/>
      <c r="AS498" s="1"/>
      <c r="AT498" s="1"/>
      <c r="AU498" s="1"/>
      <c r="AV498" s="1"/>
      <c r="AW498" s="1"/>
      <c r="DS498" s="33"/>
      <c r="DT498" s="33"/>
      <c r="DU498" s="33"/>
      <c r="DV498" s="33"/>
      <c r="DW498" s="33"/>
      <c r="DX498" s="33"/>
      <c r="DY498" s="33"/>
      <c r="DZ498" s="33"/>
      <c r="EA498" s="33"/>
      <c r="EB498" s="33"/>
      <c r="EC498" s="33"/>
      <c r="ED498" s="33"/>
      <c r="EE498" s="33"/>
      <c r="EF498" s="33"/>
      <c r="EG498" s="33"/>
      <c r="EH498" s="33"/>
      <c r="EI498" s="33"/>
      <c r="EJ498" s="33"/>
      <c r="EK498" s="33"/>
      <c r="EL498" s="33"/>
      <c r="EM498" s="33"/>
      <c r="EN498" s="33"/>
      <c r="EO498" s="33"/>
      <c r="EP498" s="33"/>
      <c r="EQ498" s="33"/>
      <c r="ER498" s="33"/>
      <c r="ES498" s="33"/>
      <c r="ET498" s="33"/>
      <c r="EU498" s="33"/>
      <c r="EV498" s="33"/>
      <c r="EW498" s="33"/>
      <c r="EX498" s="33"/>
      <c r="EY498" s="33"/>
    </row>
    <row r="499" spans="44:155" x14ac:dyDescent="0.3">
      <c r="AR499" s="1"/>
      <c r="AS499" s="1"/>
      <c r="AT499" s="1"/>
      <c r="AU499" s="1"/>
      <c r="AV499" s="1"/>
      <c r="AW499" s="1"/>
      <c r="DS499" s="33"/>
      <c r="DT499" s="33"/>
      <c r="DU499" s="33"/>
      <c r="DV499" s="33"/>
      <c r="DW499" s="33"/>
      <c r="DX499" s="33"/>
      <c r="DY499" s="33"/>
      <c r="DZ499" s="33"/>
      <c r="EA499" s="33"/>
      <c r="EB499" s="33"/>
      <c r="EC499" s="33"/>
      <c r="ED499" s="33"/>
      <c r="EE499" s="33"/>
      <c r="EF499" s="33"/>
      <c r="EG499" s="33"/>
      <c r="EH499" s="33"/>
      <c r="EI499" s="33"/>
      <c r="EJ499" s="33"/>
      <c r="EK499" s="33"/>
      <c r="EL499" s="33"/>
      <c r="EM499" s="33"/>
      <c r="EN499" s="33"/>
      <c r="EO499" s="33"/>
      <c r="EP499" s="33"/>
      <c r="EQ499" s="33"/>
      <c r="ER499" s="33"/>
      <c r="ES499" s="33"/>
      <c r="ET499" s="33"/>
      <c r="EU499" s="33"/>
      <c r="EV499" s="33"/>
      <c r="EW499" s="33"/>
      <c r="EX499" s="33"/>
      <c r="EY499" s="33"/>
    </row>
    <row r="500" spans="44:155" x14ac:dyDescent="0.3">
      <c r="AR500" s="1"/>
      <c r="AS500" s="1"/>
      <c r="AT500" s="1"/>
      <c r="AU500" s="1"/>
      <c r="AV500" s="1"/>
      <c r="AW500" s="1"/>
      <c r="DS500" s="33"/>
      <c r="DT500" s="33"/>
      <c r="DU500" s="33"/>
      <c r="DV500" s="33"/>
      <c r="DW500" s="33"/>
      <c r="DX500" s="33"/>
      <c r="DY500" s="33"/>
      <c r="DZ500" s="33"/>
      <c r="EA500" s="33"/>
      <c r="EB500" s="33"/>
      <c r="EC500" s="33"/>
      <c r="ED500" s="33"/>
      <c r="EE500" s="33"/>
      <c r="EF500" s="33"/>
      <c r="EG500" s="33"/>
      <c r="EH500" s="33"/>
      <c r="EI500" s="33"/>
      <c r="EJ500" s="33"/>
      <c r="EK500" s="33"/>
      <c r="EL500" s="33"/>
      <c r="EM500" s="33"/>
      <c r="EN500" s="33"/>
      <c r="EO500" s="33"/>
      <c r="EP500" s="33"/>
      <c r="EQ500" s="33"/>
      <c r="ER500" s="33"/>
      <c r="ES500" s="33"/>
      <c r="ET500" s="33"/>
      <c r="EU500" s="33"/>
      <c r="EV500" s="33"/>
      <c r="EW500" s="33"/>
      <c r="EX500" s="33"/>
      <c r="EY500" s="33"/>
    </row>
    <row r="501" spans="44:155" x14ac:dyDescent="0.3">
      <c r="AR501" s="1"/>
      <c r="AS501" s="1"/>
      <c r="AT501" s="1"/>
      <c r="AU501" s="1"/>
      <c r="AV501" s="1"/>
      <c r="AW501" s="1"/>
      <c r="DS501" s="33"/>
      <c r="DT501" s="33"/>
      <c r="DU501" s="33"/>
      <c r="DV501" s="33"/>
      <c r="DW501" s="33"/>
      <c r="DX501" s="33"/>
      <c r="DY501" s="33"/>
      <c r="DZ501" s="33"/>
      <c r="EA501" s="33"/>
      <c r="EB501" s="33"/>
      <c r="EC501" s="33"/>
      <c r="ED501" s="33"/>
      <c r="EE501" s="33"/>
      <c r="EF501" s="33"/>
      <c r="EG501" s="33"/>
      <c r="EH501" s="33"/>
      <c r="EI501" s="33"/>
      <c r="EJ501" s="33"/>
      <c r="EK501" s="33"/>
      <c r="EL501" s="33"/>
      <c r="EM501" s="33"/>
      <c r="EN501" s="33"/>
      <c r="EO501" s="33"/>
      <c r="EP501" s="33"/>
      <c r="EQ501" s="33"/>
      <c r="ER501" s="33"/>
      <c r="ES501" s="33"/>
      <c r="ET501" s="33"/>
      <c r="EU501" s="33"/>
      <c r="EV501" s="33"/>
      <c r="EW501" s="33"/>
      <c r="EX501" s="33"/>
      <c r="EY501" s="33"/>
    </row>
    <row r="502" spans="44:155" x14ac:dyDescent="0.3">
      <c r="AR502" s="1"/>
      <c r="AS502" s="1"/>
      <c r="AT502" s="1"/>
      <c r="AU502" s="1"/>
      <c r="AV502" s="1"/>
      <c r="AW502" s="1"/>
      <c r="DS502" s="33"/>
      <c r="DT502" s="33"/>
      <c r="DU502" s="33"/>
      <c r="DV502" s="33"/>
      <c r="DW502" s="33"/>
      <c r="DX502" s="33"/>
      <c r="DY502" s="33"/>
      <c r="DZ502" s="33"/>
      <c r="EA502" s="33"/>
      <c r="EB502" s="33"/>
      <c r="EC502" s="33"/>
      <c r="ED502" s="33"/>
      <c r="EE502" s="33"/>
      <c r="EF502" s="33"/>
      <c r="EG502" s="33"/>
      <c r="EH502" s="33"/>
      <c r="EI502" s="33"/>
      <c r="EJ502" s="33"/>
      <c r="EK502" s="33"/>
      <c r="EL502" s="33"/>
      <c r="EM502" s="33"/>
      <c r="EN502" s="33"/>
      <c r="EO502" s="33"/>
      <c r="EP502" s="33"/>
      <c r="EQ502" s="33"/>
      <c r="ER502" s="33"/>
      <c r="ES502" s="33"/>
      <c r="ET502" s="33"/>
      <c r="EU502" s="33"/>
      <c r="EV502" s="33"/>
      <c r="EW502" s="33"/>
      <c r="EX502" s="33"/>
      <c r="EY502" s="33"/>
    </row>
    <row r="503" spans="44:155" x14ac:dyDescent="0.3">
      <c r="AR503" s="1"/>
      <c r="AS503" s="1"/>
      <c r="AT503" s="1"/>
      <c r="AU503" s="1"/>
      <c r="AV503" s="1"/>
      <c r="AW503" s="1"/>
      <c r="DS503" s="33"/>
      <c r="DT503" s="33"/>
      <c r="DU503" s="33"/>
      <c r="DV503" s="33"/>
      <c r="DW503" s="33"/>
      <c r="DX503" s="33"/>
      <c r="DY503" s="33"/>
      <c r="DZ503" s="33"/>
      <c r="EA503" s="33"/>
      <c r="EB503" s="33"/>
      <c r="EC503" s="33"/>
      <c r="ED503" s="33"/>
      <c r="EE503" s="33"/>
      <c r="EF503" s="33"/>
      <c r="EG503" s="33"/>
      <c r="EH503" s="33"/>
      <c r="EI503" s="33"/>
      <c r="EJ503" s="33"/>
      <c r="EK503" s="33"/>
      <c r="EL503" s="33"/>
      <c r="EM503" s="33"/>
      <c r="EN503" s="33"/>
      <c r="EO503" s="33"/>
      <c r="EP503" s="33"/>
      <c r="EQ503" s="33"/>
      <c r="ER503" s="33"/>
      <c r="ES503" s="33"/>
      <c r="ET503" s="33"/>
      <c r="EU503" s="33"/>
      <c r="EV503" s="33"/>
      <c r="EW503" s="33"/>
      <c r="EX503" s="33"/>
      <c r="EY503" s="33"/>
    </row>
    <row r="504" spans="44:155" x14ac:dyDescent="0.3">
      <c r="AR504" s="1"/>
      <c r="AS504" s="1"/>
      <c r="AT504" s="1"/>
      <c r="AU504" s="1"/>
      <c r="AV504" s="1"/>
      <c r="AW504" s="1"/>
      <c r="DS504" s="33"/>
      <c r="DT504" s="33"/>
      <c r="DU504" s="33"/>
      <c r="DV504" s="33"/>
      <c r="DW504" s="33"/>
      <c r="DX504" s="33"/>
      <c r="DY504" s="33"/>
      <c r="DZ504" s="33"/>
      <c r="EA504" s="33"/>
      <c r="EB504" s="33"/>
      <c r="EC504" s="33"/>
      <c r="ED504" s="33"/>
      <c r="EE504" s="33"/>
      <c r="EF504" s="33"/>
      <c r="EG504" s="33"/>
      <c r="EH504" s="33"/>
      <c r="EI504" s="33"/>
      <c r="EJ504" s="33"/>
      <c r="EK504" s="33"/>
      <c r="EL504" s="33"/>
      <c r="EM504" s="33"/>
      <c r="EN504" s="33"/>
      <c r="EO504" s="33"/>
      <c r="EP504" s="33"/>
      <c r="EQ504" s="33"/>
      <c r="ER504" s="33"/>
      <c r="ES504" s="33"/>
      <c r="ET504" s="33"/>
      <c r="EU504" s="33"/>
      <c r="EV504" s="33"/>
      <c r="EW504" s="33"/>
      <c r="EX504" s="33"/>
      <c r="EY504" s="33"/>
    </row>
    <row r="505" spans="44:155" x14ac:dyDescent="0.3">
      <c r="AR505" s="1"/>
      <c r="AS505" s="1"/>
      <c r="AT505" s="1"/>
      <c r="AU505" s="1"/>
      <c r="AV505" s="1"/>
      <c r="AW505" s="1"/>
      <c r="DS505" s="33"/>
      <c r="DT505" s="33"/>
      <c r="DU505" s="33"/>
      <c r="DV505" s="33"/>
      <c r="DW505" s="33"/>
      <c r="DX505" s="33"/>
      <c r="DY505" s="33"/>
      <c r="DZ505" s="33"/>
      <c r="EA505" s="33"/>
      <c r="EB505" s="33"/>
      <c r="EC505" s="33"/>
      <c r="ED505" s="33"/>
      <c r="EE505" s="33"/>
      <c r="EF505" s="33"/>
      <c r="EG505" s="33"/>
      <c r="EH505" s="33"/>
      <c r="EI505" s="33"/>
      <c r="EJ505" s="33"/>
      <c r="EK505" s="33"/>
      <c r="EL505" s="33"/>
      <c r="EM505" s="33"/>
      <c r="EN505" s="33"/>
      <c r="EO505" s="33"/>
      <c r="EP505" s="33"/>
      <c r="EQ505" s="33"/>
      <c r="ER505" s="33"/>
      <c r="ES505" s="33"/>
      <c r="ET505" s="33"/>
      <c r="EU505" s="33"/>
      <c r="EV505" s="33"/>
      <c r="EW505" s="33"/>
      <c r="EX505" s="33"/>
      <c r="EY505" s="33"/>
    </row>
    <row r="506" spans="44:155" x14ac:dyDescent="0.3">
      <c r="AR506" s="1"/>
      <c r="AS506" s="1"/>
      <c r="AT506" s="1"/>
      <c r="AU506" s="1"/>
      <c r="AV506" s="1"/>
      <c r="AW506" s="1"/>
      <c r="DS506" s="33"/>
      <c r="DT506" s="33"/>
      <c r="DU506" s="33"/>
      <c r="DV506" s="33"/>
      <c r="DW506" s="33"/>
      <c r="DX506" s="33"/>
      <c r="DY506" s="33"/>
      <c r="DZ506" s="33"/>
      <c r="EA506" s="33"/>
      <c r="EB506" s="33"/>
      <c r="EC506" s="33"/>
      <c r="ED506" s="33"/>
      <c r="EE506" s="33"/>
      <c r="EF506" s="33"/>
      <c r="EG506" s="33"/>
      <c r="EH506" s="33"/>
      <c r="EI506" s="33"/>
      <c r="EJ506" s="33"/>
      <c r="EK506" s="33"/>
      <c r="EL506" s="33"/>
      <c r="EM506" s="33"/>
      <c r="EN506" s="33"/>
      <c r="EO506" s="33"/>
      <c r="EP506" s="33"/>
      <c r="EQ506" s="33"/>
      <c r="ER506" s="33"/>
      <c r="ES506" s="33"/>
      <c r="ET506" s="33"/>
      <c r="EU506" s="33"/>
      <c r="EV506" s="33"/>
      <c r="EW506" s="33"/>
      <c r="EX506" s="33"/>
      <c r="EY506" s="33"/>
    </row>
    <row r="507" spans="44:155" x14ac:dyDescent="0.3">
      <c r="AR507" s="1"/>
      <c r="AS507" s="1"/>
      <c r="AT507" s="1"/>
      <c r="AU507" s="1"/>
      <c r="AV507" s="1"/>
      <c r="AW507" s="1"/>
      <c r="DS507" s="33"/>
      <c r="DT507" s="33"/>
      <c r="DU507" s="33"/>
      <c r="DV507" s="33"/>
      <c r="DW507" s="33"/>
      <c r="DX507" s="33"/>
      <c r="DY507" s="33"/>
      <c r="DZ507" s="33"/>
      <c r="EA507" s="33"/>
      <c r="EB507" s="33"/>
      <c r="EC507" s="33"/>
      <c r="ED507" s="33"/>
      <c r="EE507" s="33"/>
      <c r="EF507" s="33"/>
      <c r="EG507" s="33"/>
      <c r="EH507" s="33"/>
      <c r="EI507" s="33"/>
      <c r="EJ507" s="33"/>
      <c r="EK507" s="33"/>
      <c r="EL507" s="33"/>
      <c r="EM507" s="33"/>
      <c r="EN507" s="33"/>
      <c r="EO507" s="33"/>
      <c r="EP507" s="33"/>
      <c r="EQ507" s="33"/>
      <c r="ER507" s="33"/>
      <c r="ES507" s="33"/>
      <c r="ET507" s="33"/>
      <c r="EU507" s="33"/>
      <c r="EV507" s="33"/>
      <c r="EW507" s="33"/>
      <c r="EX507" s="33"/>
      <c r="EY507" s="33"/>
    </row>
    <row r="508" spans="44:155" x14ac:dyDescent="0.3">
      <c r="AR508" s="1"/>
      <c r="AS508" s="1"/>
      <c r="AT508" s="1"/>
      <c r="AU508" s="1"/>
      <c r="AV508" s="1"/>
      <c r="AW508" s="1"/>
      <c r="DS508" s="33"/>
      <c r="DT508" s="33"/>
      <c r="DU508" s="33"/>
      <c r="DV508" s="33"/>
      <c r="DW508" s="33"/>
      <c r="DX508" s="33"/>
      <c r="DY508" s="33"/>
      <c r="DZ508" s="33"/>
      <c r="EA508" s="33"/>
      <c r="EB508" s="33"/>
      <c r="EC508" s="33"/>
      <c r="ED508" s="33"/>
      <c r="EE508" s="33"/>
      <c r="EF508" s="33"/>
      <c r="EG508" s="33"/>
      <c r="EH508" s="33"/>
      <c r="EI508" s="33"/>
      <c r="EJ508" s="33"/>
      <c r="EK508" s="33"/>
      <c r="EL508" s="33"/>
      <c r="EM508" s="33"/>
      <c r="EN508" s="33"/>
      <c r="EO508" s="33"/>
      <c r="EP508" s="33"/>
      <c r="EQ508" s="33"/>
      <c r="ER508" s="33"/>
      <c r="ES508" s="33"/>
      <c r="ET508" s="33"/>
      <c r="EU508" s="33"/>
      <c r="EV508" s="33"/>
      <c r="EW508" s="33"/>
      <c r="EX508" s="33"/>
      <c r="EY508" s="33"/>
    </row>
    <row r="509" spans="44:155" x14ac:dyDescent="0.3">
      <c r="AR509" s="1"/>
      <c r="AS509" s="1"/>
      <c r="AT509" s="1"/>
      <c r="AU509" s="1"/>
      <c r="AV509" s="1"/>
      <c r="AW509" s="1"/>
      <c r="DS509" s="33"/>
      <c r="DT509" s="33"/>
      <c r="DU509" s="33"/>
      <c r="DV509" s="33"/>
      <c r="DW509" s="33"/>
      <c r="DX509" s="33"/>
      <c r="DY509" s="33"/>
      <c r="DZ509" s="33"/>
      <c r="EA509" s="33"/>
      <c r="EB509" s="33"/>
      <c r="EC509" s="33"/>
      <c r="ED509" s="33"/>
      <c r="EE509" s="33"/>
      <c r="EF509" s="33"/>
      <c r="EG509" s="33"/>
      <c r="EH509" s="33"/>
      <c r="EI509" s="33"/>
      <c r="EJ509" s="33"/>
      <c r="EK509" s="33"/>
      <c r="EL509" s="33"/>
      <c r="EM509" s="33"/>
      <c r="EN509" s="33"/>
      <c r="EO509" s="33"/>
      <c r="EP509" s="33"/>
      <c r="EQ509" s="33"/>
      <c r="ER509" s="33"/>
      <c r="ES509" s="33"/>
      <c r="ET509" s="33"/>
      <c r="EU509" s="33"/>
      <c r="EV509" s="33"/>
      <c r="EW509" s="33"/>
      <c r="EX509" s="33"/>
      <c r="EY509" s="33"/>
    </row>
    <row r="510" spans="44:155" x14ac:dyDescent="0.3">
      <c r="AR510" s="1"/>
      <c r="AS510" s="1"/>
      <c r="AT510" s="1"/>
      <c r="AU510" s="1"/>
      <c r="AV510" s="1"/>
      <c r="AW510" s="1"/>
      <c r="DS510" s="33"/>
      <c r="DT510" s="33"/>
      <c r="DU510" s="33"/>
      <c r="DV510" s="33"/>
      <c r="DW510" s="33"/>
      <c r="DX510" s="33"/>
      <c r="DY510" s="33"/>
      <c r="DZ510" s="33"/>
      <c r="EA510" s="33"/>
      <c r="EB510" s="33"/>
      <c r="EC510" s="33"/>
      <c r="ED510" s="33"/>
      <c r="EE510" s="33"/>
      <c r="EF510" s="33"/>
      <c r="EG510" s="33"/>
      <c r="EH510" s="33"/>
      <c r="EI510" s="33"/>
      <c r="EJ510" s="33"/>
      <c r="EK510" s="33"/>
      <c r="EL510" s="33"/>
      <c r="EM510" s="33"/>
      <c r="EN510" s="33"/>
      <c r="EO510" s="33"/>
      <c r="EP510" s="33"/>
      <c r="EQ510" s="33"/>
      <c r="ER510" s="33"/>
      <c r="ES510" s="33"/>
      <c r="ET510" s="33"/>
      <c r="EU510" s="33"/>
      <c r="EV510" s="33"/>
      <c r="EW510" s="33"/>
      <c r="EX510" s="33"/>
      <c r="EY510" s="33"/>
    </row>
    <row r="511" spans="44:155" x14ac:dyDescent="0.3">
      <c r="AR511" s="1"/>
      <c r="AS511" s="1"/>
      <c r="AT511" s="1"/>
      <c r="AU511" s="1"/>
      <c r="AV511" s="1"/>
      <c r="AW511" s="1"/>
      <c r="DS511" s="33"/>
      <c r="DT511" s="33"/>
      <c r="DU511" s="33"/>
      <c r="DV511" s="33"/>
      <c r="DW511" s="33"/>
      <c r="DX511" s="33"/>
      <c r="DY511" s="33"/>
      <c r="DZ511" s="33"/>
      <c r="EA511" s="33"/>
      <c r="EB511" s="33"/>
      <c r="EC511" s="33"/>
      <c r="ED511" s="33"/>
      <c r="EE511" s="33"/>
      <c r="EF511" s="33"/>
      <c r="EG511" s="33"/>
      <c r="EH511" s="33"/>
      <c r="EI511" s="33"/>
      <c r="EJ511" s="33"/>
      <c r="EK511" s="33"/>
      <c r="EL511" s="33"/>
      <c r="EM511" s="33"/>
      <c r="EN511" s="33"/>
      <c r="EO511" s="33"/>
      <c r="EP511" s="33"/>
      <c r="EQ511" s="33"/>
      <c r="ER511" s="33"/>
      <c r="ES511" s="33"/>
      <c r="ET511" s="33"/>
      <c r="EU511" s="33"/>
      <c r="EV511" s="33"/>
      <c r="EW511" s="33"/>
      <c r="EX511" s="33"/>
      <c r="EY511" s="33"/>
    </row>
    <row r="512" spans="44:155" x14ac:dyDescent="0.3">
      <c r="AR512" s="1"/>
      <c r="AS512" s="1"/>
      <c r="AT512" s="1"/>
      <c r="AU512" s="1"/>
      <c r="AV512" s="1"/>
      <c r="AW512" s="1"/>
      <c r="DS512" s="33"/>
      <c r="DT512" s="33"/>
      <c r="DU512" s="33"/>
      <c r="DV512" s="33"/>
      <c r="DW512" s="33"/>
      <c r="DX512" s="33"/>
      <c r="DY512" s="33"/>
      <c r="DZ512" s="33"/>
      <c r="EA512" s="33"/>
      <c r="EB512" s="33"/>
      <c r="EC512" s="33"/>
      <c r="ED512" s="33"/>
      <c r="EE512" s="33"/>
      <c r="EF512" s="33"/>
      <c r="EG512" s="33"/>
      <c r="EH512" s="33"/>
      <c r="EI512" s="33"/>
      <c r="EJ512" s="33"/>
      <c r="EK512" s="33"/>
      <c r="EL512" s="33"/>
      <c r="EM512" s="33"/>
      <c r="EN512" s="33"/>
      <c r="EO512" s="33"/>
      <c r="EP512" s="33"/>
      <c r="EQ512" s="33"/>
      <c r="ER512" s="33"/>
      <c r="ES512" s="33"/>
      <c r="ET512" s="33"/>
      <c r="EU512" s="33"/>
      <c r="EV512" s="33"/>
      <c r="EW512" s="33"/>
      <c r="EX512" s="33"/>
      <c r="EY512" s="33"/>
    </row>
    <row r="513" spans="44:155" x14ac:dyDescent="0.3">
      <c r="AR513" s="1"/>
      <c r="AS513" s="1"/>
      <c r="AT513" s="1"/>
      <c r="AU513" s="1"/>
      <c r="AV513" s="1"/>
      <c r="AW513" s="1"/>
      <c r="DS513" s="33"/>
      <c r="DT513" s="33"/>
      <c r="DU513" s="33"/>
      <c r="DV513" s="33"/>
      <c r="DW513" s="33"/>
      <c r="DX513" s="33"/>
      <c r="DY513" s="33"/>
      <c r="DZ513" s="33"/>
      <c r="EA513" s="33"/>
      <c r="EB513" s="33"/>
      <c r="EC513" s="33"/>
      <c r="ED513" s="33"/>
      <c r="EE513" s="33"/>
      <c r="EF513" s="33"/>
      <c r="EG513" s="33"/>
      <c r="EH513" s="33"/>
      <c r="EI513" s="33"/>
      <c r="EJ513" s="33"/>
      <c r="EK513" s="33"/>
      <c r="EL513" s="33"/>
      <c r="EM513" s="33"/>
      <c r="EN513" s="33"/>
      <c r="EO513" s="33"/>
      <c r="EP513" s="33"/>
      <c r="EQ513" s="33"/>
      <c r="ER513" s="33"/>
      <c r="ES513" s="33"/>
      <c r="ET513" s="33"/>
      <c r="EU513" s="33"/>
      <c r="EV513" s="33"/>
      <c r="EW513" s="33"/>
      <c r="EX513" s="33"/>
      <c r="EY513" s="33"/>
    </row>
    <row r="514" spans="44:155" x14ac:dyDescent="0.3">
      <c r="AR514" s="1"/>
      <c r="AS514" s="1"/>
      <c r="AT514" s="1"/>
      <c r="AU514" s="1"/>
      <c r="AV514" s="1"/>
      <c r="AW514" s="1"/>
      <c r="DS514" s="33"/>
      <c r="DT514" s="33"/>
      <c r="DU514" s="33"/>
      <c r="DV514" s="33"/>
      <c r="DW514" s="33"/>
      <c r="DX514" s="33"/>
      <c r="DY514" s="33"/>
      <c r="DZ514" s="33"/>
      <c r="EA514" s="33"/>
      <c r="EB514" s="33"/>
      <c r="EC514" s="33"/>
      <c r="ED514" s="33"/>
      <c r="EE514" s="33"/>
      <c r="EF514" s="33"/>
      <c r="EG514" s="33"/>
      <c r="EH514" s="33"/>
      <c r="EI514" s="33"/>
      <c r="EJ514" s="33"/>
      <c r="EK514" s="33"/>
      <c r="EL514" s="33"/>
      <c r="EM514" s="33"/>
      <c r="EN514" s="33"/>
      <c r="EO514" s="33"/>
      <c r="EP514" s="33"/>
      <c r="EQ514" s="33"/>
      <c r="ER514" s="33"/>
      <c r="ES514" s="33"/>
      <c r="ET514" s="33"/>
      <c r="EU514" s="33"/>
      <c r="EV514" s="33"/>
      <c r="EW514" s="33"/>
      <c r="EX514" s="33"/>
      <c r="EY514" s="33"/>
    </row>
    <row r="515" spans="44:155" x14ac:dyDescent="0.3">
      <c r="AR515" s="1"/>
      <c r="AS515" s="1"/>
      <c r="AT515" s="1"/>
      <c r="AU515" s="1"/>
      <c r="AV515" s="1"/>
      <c r="AW515" s="1"/>
      <c r="DS515" s="33"/>
      <c r="DT515" s="33"/>
      <c r="DU515" s="33"/>
      <c r="DV515" s="33"/>
      <c r="DW515" s="33"/>
      <c r="DX515" s="33"/>
      <c r="DY515" s="33"/>
      <c r="DZ515" s="33"/>
      <c r="EA515" s="33"/>
      <c r="EB515" s="33"/>
      <c r="EC515" s="33"/>
      <c r="ED515" s="33"/>
      <c r="EE515" s="33"/>
      <c r="EF515" s="33"/>
      <c r="EG515" s="33"/>
      <c r="EH515" s="33"/>
      <c r="EI515" s="33"/>
      <c r="EJ515" s="33"/>
      <c r="EK515" s="33"/>
      <c r="EL515" s="33"/>
      <c r="EM515" s="33"/>
      <c r="EN515" s="33"/>
      <c r="EO515" s="33"/>
      <c r="EP515" s="33"/>
      <c r="EQ515" s="33"/>
      <c r="ER515" s="33"/>
      <c r="ES515" s="33"/>
      <c r="ET515" s="33"/>
      <c r="EU515" s="33"/>
      <c r="EV515" s="33"/>
      <c r="EW515" s="33"/>
      <c r="EX515" s="33"/>
      <c r="EY515" s="33"/>
    </row>
    <row r="516" spans="44:155" x14ac:dyDescent="0.3">
      <c r="AR516" s="1"/>
      <c r="AS516" s="1"/>
      <c r="AT516" s="1"/>
      <c r="AU516" s="1"/>
      <c r="AV516" s="1"/>
      <c r="AW516" s="1"/>
      <c r="DS516" s="33"/>
      <c r="DT516" s="33"/>
      <c r="DU516" s="33"/>
      <c r="DV516" s="33"/>
      <c r="DW516" s="33"/>
      <c r="DX516" s="33"/>
      <c r="DY516" s="33"/>
      <c r="DZ516" s="33"/>
      <c r="EA516" s="33"/>
      <c r="EB516" s="33"/>
      <c r="EC516" s="33"/>
      <c r="ED516" s="33"/>
      <c r="EE516" s="33"/>
      <c r="EF516" s="33"/>
      <c r="EG516" s="33"/>
      <c r="EH516" s="33"/>
      <c r="EI516" s="33"/>
      <c r="EJ516" s="33"/>
      <c r="EK516" s="33"/>
      <c r="EL516" s="33"/>
      <c r="EM516" s="33"/>
      <c r="EN516" s="33"/>
      <c r="EO516" s="33"/>
      <c r="EP516" s="33"/>
      <c r="EQ516" s="33"/>
      <c r="ER516" s="33"/>
      <c r="ES516" s="33"/>
      <c r="ET516" s="33"/>
      <c r="EU516" s="33"/>
      <c r="EV516" s="33"/>
      <c r="EW516" s="33"/>
      <c r="EX516" s="33"/>
      <c r="EY516" s="33"/>
    </row>
    <row r="517" spans="44:155" x14ac:dyDescent="0.3">
      <c r="AR517" s="1"/>
      <c r="AS517" s="1"/>
      <c r="AT517" s="1"/>
      <c r="AU517" s="1"/>
      <c r="AV517" s="1"/>
      <c r="AW517" s="1"/>
      <c r="DS517" s="33"/>
      <c r="DT517" s="33"/>
      <c r="DU517" s="33"/>
      <c r="DV517" s="33"/>
      <c r="DW517" s="33"/>
      <c r="DX517" s="33"/>
      <c r="DY517" s="33"/>
      <c r="DZ517" s="33"/>
      <c r="EA517" s="33"/>
      <c r="EB517" s="33"/>
      <c r="EC517" s="33"/>
      <c r="ED517" s="33"/>
      <c r="EE517" s="33"/>
      <c r="EF517" s="33"/>
      <c r="EG517" s="33"/>
      <c r="EH517" s="33"/>
      <c r="EI517" s="33"/>
      <c r="EJ517" s="33"/>
      <c r="EK517" s="33"/>
      <c r="EL517" s="33"/>
      <c r="EM517" s="33"/>
      <c r="EN517" s="33"/>
      <c r="EO517" s="33"/>
      <c r="EP517" s="33"/>
      <c r="EQ517" s="33"/>
      <c r="ER517" s="33"/>
      <c r="ES517" s="33"/>
      <c r="ET517" s="33"/>
      <c r="EU517" s="33"/>
      <c r="EV517" s="33"/>
      <c r="EW517" s="33"/>
      <c r="EX517" s="33"/>
      <c r="EY517" s="33"/>
    </row>
    <row r="518" spans="44:155" x14ac:dyDescent="0.3">
      <c r="AR518" s="1"/>
      <c r="AS518" s="1"/>
      <c r="AT518" s="1"/>
      <c r="AU518" s="1"/>
      <c r="AV518" s="1"/>
      <c r="AW518" s="1"/>
      <c r="DS518" s="33"/>
      <c r="DT518" s="33"/>
      <c r="DU518" s="33"/>
      <c r="DV518" s="33"/>
      <c r="DW518" s="33"/>
      <c r="DX518" s="33"/>
      <c r="DY518" s="33"/>
      <c r="DZ518" s="33"/>
      <c r="EA518" s="33"/>
      <c r="EB518" s="33"/>
      <c r="EC518" s="33"/>
      <c r="ED518" s="33"/>
      <c r="EE518" s="33"/>
      <c r="EF518" s="33"/>
      <c r="EG518" s="33"/>
      <c r="EH518" s="33"/>
      <c r="EI518" s="33"/>
      <c r="EJ518" s="33"/>
      <c r="EK518" s="33"/>
      <c r="EL518" s="33"/>
      <c r="EM518" s="33"/>
      <c r="EN518" s="33"/>
      <c r="EO518" s="33"/>
      <c r="EP518" s="33"/>
      <c r="EQ518" s="33"/>
      <c r="ER518" s="33"/>
      <c r="ES518" s="33"/>
      <c r="ET518" s="33"/>
      <c r="EU518" s="33"/>
      <c r="EV518" s="33"/>
      <c r="EW518" s="33"/>
      <c r="EX518" s="33"/>
      <c r="EY518" s="33"/>
    </row>
    <row r="519" spans="44:155" x14ac:dyDescent="0.3">
      <c r="AR519" s="1"/>
      <c r="AS519" s="1"/>
      <c r="AT519" s="1"/>
      <c r="AU519" s="1"/>
      <c r="AV519" s="1"/>
      <c r="AW519" s="1"/>
      <c r="DS519" s="33"/>
      <c r="DT519" s="33"/>
      <c r="DU519" s="33"/>
      <c r="DV519" s="33"/>
      <c r="DW519" s="33"/>
      <c r="DX519" s="33"/>
      <c r="DY519" s="33"/>
      <c r="DZ519" s="33"/>
      <c r="EA519" s="33"/>
      <c r="EB519" s="33"/>
      <c r="EC519" s="33"/>
      <c r="ED519" s="33"/>
      <c r="EE519" s="33"/>
      <c r="EF519" s="33"/>
      <c r="EG519" s="33"/>
      <c r="EH519" s="33"/>
      <c r="EI519" s="33"/>
      <c r="EJ519" s="33"/>
      <c r="EK519" s="33"/>
      <c r="EL519" s="33"/>
      <c r="EM519" s="33"/>
      <c r="EN519" s="33"/>
      <c r="EO519" s="33"/>
      <c r="EP519" s="33"/>
      <c r="EQ519" s="33"/>
      <c r="ER519" s="33"/>
      <c r="ES519" s="33"/>
      <c r="ET519" s="33"/>
      <c r="EU519" s="33"/>
      <c r="EV519" s="33"/>
      <c r="EW519" s="33"/>
      <c r="EX519" s="33"/>
      <c r="EY519" s="33"/>
    </row>
    <row r="520" spans="44:155" x14ac:dyDescent="0.3">
      <c r="AR520" s="1"/>
      <c r="AS520" s="1"/>
      <c r="AT520" s="1"/>
      <c r="AU520" s="1"/>
      <c r="AV520" s="1"/>
      <c r="AW520" s="1"/>
      <c r="DS520" s="33"/>
      <c r="DT520" s="33"/>
      <c r="DU520" s="33"/>
      <c r="DV520" s="33"/>
      <c r="DW520" s="33"/>
      <c r="DX520" s="33"/>
      <c r="DY520" s="33"/>
      <c r="DZ520" s="33"/>
      <c r="EA520" s="33"/>
      <c r="EB520" s="33"/>
      <c r="EC520" s="33"/>
      <c r="ED520" s="33"/>
      <c r="EE520" s="33"/>
      <c r="EF520" s="33"/>
      <c r="EG520" s="33"/>
      <c r="EH520" s="33"/>
      <c r="EI520" s="33"/>
      <c r="EJ520" s="33"/>
      <c r="EK520" s="33"/>
      <c r="EL520" s="33"/>
      <c r="EM520" s="33"/>
      <c r="EN520" s="33"/>
      <c r="EO520" s="33"/>
      <c r="EP520" s="33"/>
      <c r="EQ520" s="33"/>
      <c r="ER520" s="33"/>
      <c r="ES520" s="33"/>
      <c r="ET520" s="33"/>
      <c r="EU520" s="33"/>
      <c r="EV520" s="33"/>
      <c r="EW520" s="33"/>
      <c r="EX520" s="33"/>
      <c r="EY520" s="33"/>
    </row>
    <row r="521" spans="44:155" x14ac:dyDescent="0.3">
      <c r="AR521" s="1"/>
      <c r="AS521" s="1"/>
      <c r="AT521" s="1"/>
      <c r="AU521" s="1"/>
      <c r="AV521" s="1"/>
      <c r="AW521" s="1"/>
      <c r="DS521" s="33"/>
      <c r="DT521" s="33"/>
      <c r="DU521" s="33"/>
      <c r="DV521" s="33"/>
      <c r="DW521" s="33"/>
      <c r="DX521" s="33"/>
      <c r="DY521" s="33"/>
      <c r="DZ521" s="33"/>
      <c r="EA521" s="33"/>
      <c r="EB521" s="33"/>
      <c r="EC521" s="33"/>
      <c r="ED521" s="33"/>
      <c r="EE521" s="33"/>
      <c r="EF521" s="33"/>
      <c r="EG521" s="33"/>
      <c r="EH521" s="33"/>
      <c r="EI521" s="33"/>
      <c r="EJ521" s="33"/>
      <c r="EK521" s="33"/>
      <c r="EL521" s="33"/>
      <c r="EM521" s="33"/>
      <c r="EN521" s="33"/>
      <c r="EO521" s="33"/>
      <c r="EP521" s="33"/>
      <c r="EQ521" s="33"/>
      <c r="ER521" s="33"/>
      <c r="ES521" s="33"/>
      <c r="ET521" s="33"/>
      <c r="EU521" s="33"/>
      <c r="EV521" s="33"/>
      <c r="EW521" s="33"/>
      <c r="EX521" s="33"/>
      <c r="EY521" s="33"/>
    </row>
    <row r="522" spans="44:155" x14ac:dyDescent="0.3">
      <c r="AR522" s="1"/>
      <c r="AS522" s="1"/>
      <c r="AT522" s="1"/>
      <c r="AU522" s="1"/>
      <c r="AV522" s="1"/>
      <c r="AW522" s="1"/>
      <c r="DS522" s="33"/>
      <c r="DT522" s="33"/>
      <c r="DU522" s="33"/>
      <c r="DV522" s="33"/>
      <c r="DW522" s="33"/>
      <c r="DX522" s="33"/>
      <c r="DY522" s="33"/>
      <c r="DZ522" s="33"/>
      <c r="EA522" s="33"/>
      <c r="EB522" s="33"/>
      <c r="EC522" s="33"/>
      <c r="ED522" s="33"/>
      <c r="EE522" s="33"/>
      <c r="EF522" s="33"/>
      <c r="EG522" s="33"/>
      <c r="EH522" s="33"/>
      <c r="EI522" s="33"/>
      <c r="EJ522" s="33"/>
      <c r="EK522" s="33"/>
      <c r="EL522" s="33"/>
      <c r="EM522" s="33"/>
      <c r="EN522" s="33"/>
      <c r="EO522" s="33"/>
      <c r="EP522" s="33"/>
      <c r="EQ522" s="33"/>
      <c r="ER522" s="33"/>
      <c r="ES522" s="33"/>
      <c r="ET522" s="33"/>
      <c r="EU522" s="33"/>
      <c r="EV522" s="33"/>
      <c r="EW522" s="33"/>
      <c r="EX522" s="33"/>
      <c r="EY522" s="33"/>
    </row>
    <row r="523" spans="44:155" x14ac:dyDescent="0.3">
      <c r="AR523" s="1"/>
      <c r="AS523" s="1"/>
      <c r="AT523" s="1"/>
      <c r="AU523" s="1"/>
      <c r="AV523" s="1"/>
      <c r="AW523" s="1"/>
      <c r="DS523" s="33"/>
      <c r="DT523" s="33"/>
      <c r="DU523" s="33"/>
      <c r="DV523" s="33"/>
      <c r="DW523" s="33"/>
      <c r="DX523" s="33"/>
      <c r="DY523" s="33"/>
      <c r="DZ523" s="33"/>
      <c r="EA523" s="33"/>
      <c r="EB523" s="33"/>
      <c r="EC523" s="33"/>
      <c r="ED523" s="33"/>
      <c r="EE523" s="33"/>
      <c r="EF523" s="33"/>
      <c r="EG523" s="33"/>
      <c r="EH523" s="33"/>
      <c r="EI523" s="33"/>
      <c r="EJ523" s="33"/>
      <c r="EK523" s="33"/>
      <c r="EL523" s="33"/>
      <c r="EM523" s="33"/>
      <c r="EN523" s="33"/>
      <c r="EO523" s="33"/>
      <c r="EP523" s="33"/>
      <c r="EQ523" s="33"/>
      <c r="ER523" s="33"/>
      <c r="ES523" s="33"/>
      <c r="ET523" s="33"/>
      <c r="EU523" s="33"/>
      <c r="EV523" s="33"/>
      <c r="EW523" s="33"/>
      <c r="EX523" s="33"/>
      <c r="EY523" s="33"/>
    </row>
    <row r="524" spans="44:155" x14ac:dyDescent="0.3">
      <c r="AR524" s="1"/>
      <c r="AS524" s="1"/>
      <c r="AT524" s="1"/>
      <c r="AU524" s="1"/>
      <c r="AV524" s="1"/>
      <c r="AW524" s="1"/>
      <c r="DS524" s="33"/>
      <c r="DT524" s="33"/>
      <c r="DU524" s="33"/>
      <c r="DV524" s="33"/>
      <c r="DW524" s="33"/>
      <c r="DX524" s="33"/>
      <c r="DY524" s="33"/>
      <c r="DZ524" s="33"/>
      <c r="EA524" s="33"/>
      <c r="EB524" s="33"/>
      <c r="EC524" s="33"/>
      <c r="ED524" s="33"/>
      <c r="EE524" s="33"/>
      <c r="EF524" s="33"/>
      <c r="EG524" s="33"/>
      <c r="EH524" s="33"/>
      <c r="EI524" s="33"/>
      <c r="EJ524" s="33"/>
      <c r="EK524" s="33"/>
      <c r="EL524" s="33"/>
      <c r="EM524" s="33"/>
      <c r="EN524" s="33"/>
      <c r="EO524" s="33"/>
      <c r="EP524" s="33"/>
      <c r="EQ524" s="33"/>
      <c r="ER524" s="33"/>
      <c r="ES524" s="33"/>
      <c r="ET524" s="33"/>
      <c r="EU524" s="33"/>
      <c r="EV524" s="33"/>
      <c r="EW524" s="33"/>
      <c r="EX524" s="33"/>
      <c r="EY524" s="33"/>
    </row>
    <row r="525" spans="44:155" x14ac:dyDescent="0.3">
      <c r="AR525" s="1"/>
      <c r="AS525" s="1"/>
      <c r="AT525" s="1"/>
      <c r="AU525" s="1"/>
      <c r="AV525" s="1"/>
      <c r="AW525" s="1"/>
      <c r="DS525" s="33"/>
      <c r="DT525" s="33"/>
      <c r="DU525" s="33"/>
      <c r="DV525" s="33"/>
      <c r="DW525" s="33"/>
      <c r="DX525" s="33"/>
      <c r="DY525" s="33"/>
      <c r="DZ525" s="33"/>
      <c r="EA525" s="33"/>
      <c r="EB525" s="33"/>
      <c r="EC525" s="33"/>
      <c r="ED525" s="33"/>
      <c r="EE525" s="33"/>
      <c r="EF525" s="33"/>
      <c r="EG525" s="33"/>
      <c r="EH525" s="33"/>
      <c r="EI525" s="33"/>
      <c r="EJ525" s="33"/>
      <c r="EK525" s="33"/>
      <c r="EL525" s="33"/>
      <c r="EM525" s="33"/>
      <c r="EN525" s="33"/>
      <c r="EO525" s="33"/>
      <c r="EP525" s="33"/>
      <c r="EQ525" s="33"/>
      <c r="ER525" s="33"/>
      <c r="ES525" s="33"/>
      <c r="ET525" s="33"/>
      <c r="EU525" s="33"/>
      <c r="EV525" s="33"/>
      <c r="EW525" s="33"/>
      <c r="EX525" s="33"/>
      <c r="EY525" s="33"/>
    </row>
    <row r="526" spans="44:155" x14ac:dyDescent="0.3">
      <c r="AR526" s="1"/>
      <c r="AS526" s="1"/>
      <c r="AT526" s="1"/>
      <c r="AU526" s="1"/>
      <c r="AV526" s="1"/>
      <c r="AW526" s="1"/>
      <c r="DS526" s="33"/>
      <c r="DT526" s="33"/>
      <c r="DU526" s="33"/>
      <c r="DV526" s="33"/>
      <c r="DW526" s="33"/>
      <c r="DX526" s="33"/>
      <c r="DY526" s="33"/>
      <c r="DZ526" s="33"/>
      <c r="EA526" s="33"/>
      <c r="EB526" s="33"/>
      <c r="EC526" s="33"/>
      <c r="ED526" s="33"/>
      <c r="EE526" s="33"/>
      <c r="EF526" s="33"/>
      <c r="EG526" s="33"/>
      <c r="EH526" s="33"/>
      <c r="EI526" s="33"/>
      <c r="EJ526" s="33"/>
      <c r="EK526" s="33"/>
      <c r="EL526" s="33"/>
      <c r="EM526" s="33"/>
      <c r="EN526" s="33"/>
      <c r="EO526" s="33"/>
      <c r="EP526" s="33"/>
      <c r="EQ526" s="33"/>
      <c r="ER526" s="33"/>
      <c r="ES526" s="33"/>
      <c r="ET526" s="33"/>
      <c r="EU526" s="33"/>
      <c r="EV526" s="33"/>
      <c r="EW526" s="33"/>
      <c r="EX526" s="33"/>
      <c r="EY526" s="33"/>
    </row>
    <row r="527" spans="44:155" x14ac:dyDescent="0.3">
      <c r="AR527" s="1"/>
      <c r="AS527" s="1"/>
      <c r="AT527" s="1"/>
      <c r="AU527" s="1"/>
      <c r="AV527" s="1"/>
      <c r="AW527" s="1"/>
      <c r="DS527" s="33"/>
      <c r="DT527" s="33"/>
      <c r="DU527" s="33"/>
      <c r="DV527" s="33"/>
      <c r="DW527" s="33"/>
      <c r="DX527" s="33"/>
      <c r="DY527" s="33"/>
      <c r="DZ527" s="33"/>
      <c r="EA527" s="33"/>
      <c r="EB527" s="33"/>
      <c r="EC527" s="33"/>
      <c r="ED527" s="33"/>
      <c r="EE527" s="33"/>
      <c r="EF527" s="33"/>
      <c r="EG527" s="33"/>
      <c r="EH527" s="33"/>
      <c r="EI527" s="33"/>
      <c r="EJ527" s="33"/>
      <c r="EK527" s="33"/>
      <c r="EL527" s="33"/>
      <c r="EM527" s="33"/>
      <c r="EN527" s="33"/>
      <c r="EO527" s="33"/>
      <c r="EP527" s="33"/>
      <c r="EQ527" s="33"/>
      <c r="ER527" s="33"/>
      <c r="ES527" s="33"/>
      <c r="ET527" s="33"/>
      <c r="EU527" s="33"/>
      <c r="EV527" s="33"/>
      <c r="EW527" s="33"/>
      <c r="EX527" s="33"/>
      <c r="EY527" s="33"/>
    </row>
    <row r="528" spans="44:155" x14ac:dyDescent="0.3">
      <c r="AR528" s="1"/>
      <c r="AS528" s="1"/>
      <c r="AT528" s="1"/>
      <c r="AU528" s="1"/>
      <c r="AV528" s="1"/>
      <c r="AW528" s="1"/>
      <c r="DS528" s="33"/>
      <c r="DT528" s="33"/>
      <c r="DU528" s="33"/>
      <c r="DV528" s="33"/>
      <c r="DW528" s="33"/>
      <c r="DX528" s="33"/>
      <c r="DY528" s="33"/>
      <c r="DZ528" s="33"/>
      <c r="EA528" s="33"/>
      <c r="EB528" s="33"/>
      <c r="EC528" s="33"/>
      <c r="ED528" s="33"/>
      <c r="EE528" s="33"/>
      <c r="EF528" s="33"/>
      <c r="EG528" s="33"/>
      <c r="EH528" s="33"/>
      <c r="EI528" s="33"/>
      <c r="EJ528" s="33"/>
      <c r="EK528" s="33"/>
      <c r="EL528" s="33"/>
      <c r="EM528" s="33"/>
      <c r="EN528" s="33"/>
      <c r="EO528" s="33"/>
      <c r="EP528" s="33"/>
      <c r="EQ528" s="33"/>
      <c r="ER528" s="33"/>
      <c r="ES528" s="33"/>
      <c r="ET528" s="33"/>
      <c r="EU528" s="33"/>
      <c r="EV528" s="33"/>
      <c r="EW528" s="33"/>
      <c r="EX528" s="33"/>
      <c r="EY528" s="33"/>
    </row>
    <row r="529" spans="44:155" x14ac:dyDescent="0.3">
      <c r="AR529" s="1"/>
      <c r="AS529" s="1"/>
      <c r="AT529" s="1"/>
      <c r="AU529" s="1"/>
      <c r="AV529" s="1"/>
      <c r="AW529" s="1"/>
      <c r="DS529" s="33"/>
      <c r="DT529" s="33"/>
      <c r="DU529" s="33"/>
      <c r="DV529" s="33"/>
      <c r="DW529" s="33"/>
      <c r="DX529" s="33"/>
      <c r="DY529" s="33"/>
      <c r="DZ529" s="33"/>
      <c r="EA529" s="33"/>
      <c r="EB529" s="33"/>
      <c r="EC529" s="33"/>
      <c r="ED529" s="33"/>
      <c r="EE529" s="33"/>
      <c r="EF529" s="33"/>
      <c r="EG529" s="33"/>
      <c r="EH529" s="33"/>
      <c r="EI529" s="33"/>
      <c r="EJ529" s="33"/>
      <c r="EK529" s="33"/>
      <c r="EL529" s="33"/>
      <c r="EM529" s="33"/>
      <c r="EN529" s="33"/>
      <c r="EO529" s="33"/>
      <c r="EP529" s="33"/>
      <c r="EQ529" s="33"/>
      <c r="ER529" s="33"/>
      <c r="ES529" s="33"/>
      <c r="ET529" s="33"/>
      <c r="EU529" s="33"/>
      <c r="EV529" s="33"/>
      <c r="EW529" s="33"/>
      <c r="EX529" s="33"/>
      <c r="EY529" s="33"/>
    </row>
    <row r="530" spans="44:155" x14ac:dyDescent="0.3">
      <c r="AR530" s="1"/>
      <c r="AS530" s="1"/>
      <c r="AT530" s="1"/>
      <c r="AU530" s="1"/>
      <c r="AV530" s="1"/>
      <c r="AW530" s="1"/>
      <c r="DS530" s="33"/>
      <c r="DT530" s="33"/>
      <c r="DU530" s="33"/>
      <c r="DV530" s="33"/>
      <c r="DW530" s="33"/>
      <c r="DX530" s="33"/>
      <c r="DY530" s="33"/>
      <c r="DZ530" s="33"/>
      <c r="EA530" s="33"/>
      <c r="EB530" s="33"/>
      <c r="EC530" s="33"/>
      <c r="ED530" s="33"/>
      <c r="EE530" s="33"/>
      <c r="EF530" s="33"/>
      <c r="EG530" s="33"/>
      <c r="EH530" s="33"/>
      <c r="EI530" s="33"/>
      <c r="EJ530" s="33"/>
      <c r="EK530" s="33"/>
      <c r="EL530" s="33"/>
      <c r="EM530" s="33"/>
      <c r="EN530" s="33"/>
      <c r="EO530" s="33"/>
      <c r="EP530" s="33"/>
      <c r="EQ530" s="33"/>
      <c r="ER530" s="33"/>
      <c r="ES530" s="33"/>
      <c r="ET530" s="33"/>
      <c r="EU530" s="33"/>
      <c r="EV530" s="33"/>
      <c r="EW530" s="33"/>
      <c r="EX530" s="33"/>
      <c r="EY530" s="33"/>
    </row>
    <row r="531" spans="44:155" x14ac:dyDescent="0.3">
      <c r="AR531" s="1"/>
      <c r="AS531" s="1"/>
      <c r="AT531" s="1"/>
      <c r="AU531" s="1"/>
      <c r="AV531" s="1"/>
      <c r="AW531" s="1"/>
      <c r="DS531" s="33"/>
      <c r="DT531" s="33"/>
      <c r="DU531" s="33"/>
      <c r="DV531" s="33"/>
      <c r="DW531" s="33"/>
      <c r="DX531" s="33"/>
      <c r="DY531" s="33"/>
      <c r="DZ531" s="33"/>
      <c r="EA531" s="33"/>
      <c r="EB531" s="33"/>
      <c r="EC531" s="33"/>
      <c r="ED531" s="33"/>
      <c r="EE531" s="33"/>
      <c r="EF531" s="33"/>
      <c r="EG531" s="33"/>
      <c r="EH531" s="33"/>
      <c r="EI531" s="33"/>
      <c r="EJ531" s="33"/>
      <c r="EK531" s="33"/>
      <c r="EL531" s="33"/>
      <c r="EM531" s="33"/>
      <c r="EN531" s="33"/>
      <c r="EO531" s="33"/>
      <c r="EP531" s="33"/>
      <c r="EQ531" s="33"/>
      <c r="ER531" s="33"/>
      <c r="ES531" s="33"/>
      <c r="ET531" s="33"/>
      <c r="EU531" s="33"/>
      <c r="EV531" s="33"/>
      <c r="EW531" s="33"/>
      <c r="EX531" s="33"/>
      <c r="EY531" s="33"/>
    </row>
    <row r="532" spans="44:155" x14ac:dyDescent="0.3">
      <c r="AR532" s="1"/>
      <c r="AS532" s="1"/>
      <c r="AT532" s="1"/>
      <c r="AU532" s="1"/>
      <c r="AV532" s="1"/>
      <c r="AW532" s="1"/>
      <c r="DS532" s="33"/>
      <c r="DT532" s="33"/>
      <c r="DU532" s="33"/>
      <c r="DV532" s="33"/>
      <c r="DW532" s="33"/>
      <c r="DX532" s="33"/>
      <c r="DY532" s="33"/>
      <c r="DZ532" s="33"/>
      <c r="EA532" s="33"/>
      <c r="EB532" s="33"/>
      <c r="EC532" s="33"/>
      <c r="ED532" s="33"/>
      <c r="EE532" s="33"/>
      <c r="EF532" s="33"/>
      <c r="EG532" s="33"/>
      <c r="EH532" s="33"/>
      <c r="EI532" s="33"/>
      <c r="EJ532" s="33"/>
      <c r="EK532" s="33"/>
      <c r="EL532" s="33"/>
      <c r="EM532" s="33"/>
      <c r="EN532" s="33"/>
      <c r="EO532" s="33"/>
      <c r="EP532" s="33"/>
      <c r="EQ532" s="33"/>
      <c r="ER532" s="33"/>
      <c r="ES532" s="33"/>
      <c r="ET532" s="33"/>
      <c r="EU532" s="33"/>
      <c r="EV532" s="33"/>
      <c r="EW532" s="33"/>
      <c r="EX532" s="33"/>
      <c r="EY532" s="33"/>
    </row>
    <row r="533" spans="44:155" x14ac:dyDescent="0.3">
      <c r="AR533" s="1"/>
      <c r="AS533" s="1"/>
      <c r="AT533" s="1"/>
      <c r="AU533" s="1"/>
      <c r="AV533" s="1"/>
      <c r="AW533" s="1"/>
      <c r="DS533" s="33"/>
      <c r="DT533" s="33"/>
      <c r="DU533" s="33"/>
      <c r="DV533" s="33"/>
      <c r="DW533" s="33"/>
      <c r="DX533" s="33"/>
      <c r="DY533" s="33"/>
      <c r="DZ533" s="33"/>
      <c r="EA533" s="33"/>
      <c r="EB533" s="33"/>
      <c r="EC533" s="33"/>
      <c r="ED533" s="33"/>
      <c r="EE533" s="33"/>
      <c r="EF533" s="33"/>
      <c r="EG533" s="33"/>
      <c r="EH533" s="33"/>
      <c r="EI533" s="33"/>
      <c r="EJ533" s="33"/>
      <c r="EK533" s="33"/>
      <c r="EL533" s="33"/>
      <c r="EM533" s="33"/>
      <c r="EN533" s="33"/>
      <c r="EO533" s="33"/>
      <c r="EP533" s="33"/>
      <c r="EQ533" s="33"/>
      <c r="ER533" s="33"/>
      <c r="ES533" s="33"/>
      <c r="ET533" s="33"/>
      <c r="EU533" s="33"/>
      <c r="EV533" s="33"/>
      <c r="EW533" s="33"/>
      <c r="EX533" s="33"/>
      <c r="EY533" s="33"/>
    </row>
    <row r="534" spans="44:155" x14ac:dyDescent="0.3">
      <c r="AR534" s="1"/>
      <c r="AS534" s="1"/>
      <c r="AT534" s="1"/>
      <c r="AU534" s="1"/>
      <c r="AV534" s="1"/>
      <c r="AW534" s="1"/>
      <c r="DS534" s="33"/>
      <c r="DT534" s="33"/>
      <c r="DU534" s="33"/>
      <c r="DV534" s="33"/>
      <c r="DW534" s="33"/>
      <c r="DX534" s="33"/>
      <c r="DY534" s="33"/>
      <c r="DZ534" s="33"/>
      <c r="EA534" s="33"/>
      <c r="EB534" s="33"/>
      <c r="EC534" s="33"/>
      <c r="ED534" s="33"/>
      <c r="EE534" s="33"/>
      <c r="EF534" s="33"/>
      <c r="EG534" s="33"/>
      <c r="EH534" s="33"/>
      <c r="EI534" s="33"/>
      <c r="EJ534" s="33"/>
      <c r="EK534" s="33"/>
      <c r="EL534" s="33"/>
      <c r="EM534" s="33"/>
      <c r="EN534" s="33"/>
      <c r="EO534" s="33"/>
      <c r="EP534" s="33"/>
      <c r="EQ534" s="33"/>
      <c r="ER534" s="33"/>
      <c r="ES534" s="33"/>
      <c r="ET534" s="33"/>
      <c r="EU534" s="33"/>
      <c r="EV534" s="33"/>
      <c r="EW534" s="33"/>
      <c r="EX534" s="33"/>
      <c r="EY534" s="33"/>
    </row>
    <row r="535" spans="44:155" x14ac:dyDescent="0.3">
      <c r="AR535" s="1"/>
      <c r="AS535" s="1"/>
      <c r="AT535" s="1"/>
      <c r="AU535" s="1"/>
      <c r="AV535" s="1"/>
      <c r="AW535" s="1"/>
      <c r="DS535" s="33"/>
      <c r="DT535" s="33"/>
      <c r="DU535" s="33"/>
      <c r="DV535" s="33"/>
      <c r="DW535" s="33"/>
      <c r="DX535" s="33"/>
      <c r="DY535" s="33"/>
      <c r="DZ535" s="33"/>
      <c r="EA535" s="33"/>
      <c r="EB535" s="33"/>
      <c r="EC535" s="33"/>
      <c r="ED535" s="33"/>
      <c r="EE535" s="33"/>
      <c r="EF535" s="33"/>
      <c r="EG535" s="33"/>
      <c r="EH535" s="33"/>
      <c r="EI535" s="33"/>
      <c r="EJ535" s="33"/>
      <c r="EK535" s="33"/>
      <c r="EL535" s="33"/>
      <c r="EM535" s="33"/>
      <c r="EN535" s="33"/>
      <c r="EO535" s="33"/>
      <c r="EP535" s="33"/>
      <c r="EQ535" s="33"/>
      <c r="ER535" s="33"/>
      <c r="ES535" s="33"/>
      <c r="ET535" s="33"/>
      <c r="EU535" s="33"/>
      <c r="EV535" s="33"/>
      <c r="EW535" s="33"/>
      <c r="EX535" s="33"/>
      <c r="EY535" s="33"/>
    </row>
    <row r="536" spans="44:155" x14ac:dyDescent="0.3">
      <c r="AR536" s="1"/>
      <c r="AS536" s="1"/>
      <c r="AT536" s="1"/>
      <c r="AU536" s="1"/>
      <c r="AV536" s="1"/>
      <c r="AW536" s="1"/>
      <c r="DS536" s="33"/>
      <c r="DT536" s="33"/>
      <c r="DU536" s="33"/>
      <c r="DV536" s="33"/>
      <c r="DW536" s="33"/>
      <c r="DX536" s="33"/>
      <c r="DY536" s="33"/>
      <c r="DZ536" s="33"/>
      <c r="EA536" s="33"/>
      <c r="EB536" s="33"/>
      <c r="EC536" s="33"/>
      <c r="ED536" s="33"/>
      <c r="EE536" s="33"/>
      <c r="EF536" s="33"/>
      <c r="EG536" s="33"/>
      <c r="EH536" s="33"/>
      <c r="EI536" s="33"/>
      <c r="EJ536" s="33"/>
      <c r="EK536" s="33"/>
      <c r="EL536" s="33"/>
      <c r="EM536" s="33"/>
      <c r="EN536" s="33"/>
      <c r="EO536" s="33"/>
      <c r="EP536" s="33"/>
      <c r="EQ536" s="33"/>
      <c r="ER536" s="33"/>
      <c r="ES536" s="33"/>
      <c r="ET536" s="33"/>
      <c r="EU536" s="33"/>
      <c r="EV536" s="33"/>
      <c r="EW536" s="33"/>
      <c r="EX536" s="33"/>
      <c r="EY536" s="33"/>
    </row>
    <row r="537" spans="44:155" x14ac:dyDescent="0.3">
      <c r="AR537" s="1"/>
      <c r="AS537" s="1"/>
      <c r="AT537" s="1"/>
      <c r="AU537" s="1"/>
      <c r="AV537" s="1"/>
      <c r="AW537" s="1"/>
      <c r="DS537" s="33"/>
      <c r="DT537" s="33"/>
      <c r="DU537" s="33"/>
      <c r="DV537" s="33"/>
      <c r="DW537" s="33"/>
      <c r="DX537" s="33"/>
      <c r="DY537" s="33"/>
      <c r="DZ537" s="33"/>
      <c r="EA537" s="33"/>
      <c r="EB537" s="33"/>
      <c r="EC537" s="33"/>
      <c r="ED537" s="33"/>
      <c r="EE537" s="33"/>
      <c r="EF537" s="33"/>
      <c r="EG537" s="33"/>
      <c r="EH537" s="33"/>
      <c r="EI537" s="33"/>
      <c r="EJ537" s="33"/>
      <c r="EK537" s="33"/>
      <c r="EL537" s="33"/>
      <c r="EM537" s="33"/>
      <c r="EN537" s="33"/>
      <c r="EO537" s="33"/>
      <c r="EP537" s="33"/>
      <c r="EQ537" s="33"/>
      <c r="ER537" s="33"/>
      <c r="ES537" s="33"/>
      <c r="ET537" s="33"/>
      <c r="EU537" s="33"/>
      <c r="EV537" s="33"/>
      <c r="EW537" s="33"/>
      <c r="EX537" s="33"/>
      <c r="EY537" s="33"/>
    </row>
    <row r="538" spans="44:155" x14ac:dyDescent="0.3">
      <c r="AR538" s="1"/>
      <c r="AS538" s="1"/>
      <c r="AT538" s="1"/>
      <c r="AU538" s="1"/>
      <c r="AV538" s="1"/>
      <c r="AW538" s="1"/>
      <c r="DS538" s="33"/>
      <c r="DT538" s="33"/>
      <c r="DU538" s="33"/>
      <c r="DV538" s="33"/>
      <c r="DW538" s="33"/>
      <c r="DX538" s="33"/>
      <c r="DY538" s="33"/>
      <c r="DZ538" s="33"/>
      <c r="EA538" s="33"/>
      <c r="EB538" s="33"/>
      <c r="EC538" s="33"/>
      <c r="ED538" s="33"/>
      <c r="EE538" s="33"/>
      <c r="EF538" s="33"/>
      <c r="EG538" s="33"/>
      <c r="EH538" s="33"/>
      <c r="EI538" s="33"/>
      <c r="EJ538" s="33"/>
      <c r="EK538" s="33"/>
      <c r="EL538" s="33"/>
      <c r="EM538" s="33"/>
      <c r="EN538" s="33"/>
      <c r="EO538" s="33"/>
      <c r="EP538" s="33"/>
      <c r="EQ538" s="33"/>
      <c r="ER538" s="33"/>
      <c r="ES538" s="33"/>
      <c r="ET538" s="33"/>
      <c r="EU538" s="33"/>
      <c r="EV538" s="33"/>
      <c r="EW538" s="33"/>
      <c r="EX538" s="33"/>
      <c r="EY538" s="33"/>
    </row>
    <row r="539" spans="44:155" x14ac:dyDescent="0.3">
      <c r="AR539" s="1"/>
      <c r="AS539" s="1"/>
      <c r="AT539" s="1"/>
      <c r="AU539" s="1"/>
      <c r="AV539" s="1"/>
      <c r="AW539" s="1"/>
      <c r="DS539" s="33"/>
      <c r="DT539" s="33"/>
      <c r="DU539" s="33"/>
      <c r="DV539" s="33"/>
      <c r="DW539" s="33"/>
      <c r="DX539" s="33"/>
      <c r="DY539" s="33"/>
      <c r="DZ539" s="33"/>
      <c r="EA539" s="33"/>
      <c r="EB539" s="33"/>
      <c r="EC539" s="33"/>
      <c r="ED539" s="33"/>
      <c r="EE539" s="33"/>
      <c r="EF539" s="33"/>
      <c r="EG539" s="33"/>
      <c r="EH539" s="33"/>
      <c r="EI539" s="33"/>
      <c r="EJ539" s="33"/>
      <c r="EK539" s="33"/>
      <c r="EL539" s="33"/>
      <c r="EM539" s="33"/>
      <c r="EN539" s="33"/>
      <c r="EO539" s="33"/>
      <c r="EP539" s="33"/>
      <c r="EQ539" s="33"/>
      <c r="ER539" s="33"/>
      <c r="ES539" s="33"/>
      <c r="ET539" s="33"/>
      <c r="EU539" s="33"/>
      <c r="EV539" s="33"/>
      <c r="EW539" s="33"/>
      <c r="EX539" s="33"/>
      <c r="EY539" s="33"/>
    </row>
    <row r="540" spans="44:155" x14ac:dyDescent="0.3">
      <c r="AR540" s="1"/>
      <c r="AS540" s="1"/>
      <c r="AT540" s="1"/>
      <c r="AU540" s="1"/>
      <c r="AV540" s="1"/>
      <c r="AW540" s="1"/>
      <c r="DS540" s="33"/>
      <c r="DT540" s="33"/>
      <c r="DU540" s="33"/>
      <c r="DV540" s="33"/>
      <c r="DW540" s="33"/>
      <c r="DX540" s="33"/>
      <c r="DY540" s="33"/>
      <c r="DZ540" s="33"/>
      <c r="EA540" s="33"/>
      <c r="EB540" s="33"/>
      <c r="EC540" s="33"/>
      <c r="ED540" s="33"/>
      <c r="EE540" s="33"/>
      <c r="EF540" s="33"/>
      <c r="EG540" s="33"/>
      <c r="EH540" s="33"/>
      <c r="EI540" s="33"/>
      <c r="EJ540" s="33"/>
      <c r="EK540" s="33"/>
      <c r="EL540" s="33"/>
      <c r="EM540" s="33"/>
      <c r="EN540" s="33"/>
      <c r="EO540" s="33"/>
      <c r="EP540" s="33"/>
      <c r="EQ540" s="33"/>
      <c r="ER540" s="33"/>
      <c r="ES540" s="33"/>
      <c r="ET540" s="33"/>
      <c r="EU540" s="33"/>
      <c r="EV540" s="33"/>
      <c r="EW540" s="33"/>
      <c r="EX540" s="33"/>
      <c r="EY540" s="33"/>
    </row>
    <row r="541" spans="44:155" x14ac:dyDescent="0.3">
      <c r="AR541" s="1"/>
      <c r="AS541" s="1"/>
      <c r="AT541" s="1"/>
      <c r="AU541" s="1"/>
      <c r="AV541" s="1"/>
      <c r="AW541" s="1"/>
      <c r="DS541" s="33"/>
      <c r="DT541" s="33"/>
      <c r="DU541" s="33"/>
      <c r="DV541" s="33"/>
      <c r="DW541" s="33"/>
      <c r="DX541" s="33"/>
      <c r="DY541" s="33"/>
      <c r="DZ541" s="33"/>
      <c r="EA541" s="33"/>
      <c r="EB541" s="33"/>
      <c r="EC541" s="33"/>
      <c r="ED541" s="33"/>
      <c r="EE541" s="33"/>
      <c r="EF541" s="33"/>
      <c r="EG541" s="33"/>
      <c r="EH541" s="33"/>
      <c r="EI541" s="33"/>
      <c r="EJ541" s="33"/>
      <c r="EK541" s="33"/>
      <c r="EL541" s="33"/>
      <c r="EM541" s="33"/>
      <c r="EN541" s="33"/>
      <c r="EO541" s="33"/>
      <c r="EP541" s="33"/>
      <c r="EQ541" s="33"/>
      <c r="ER541" s="33"/>
      <c r="ES541" s="33"/>
      <c r="ET541" s="33"/>
      <c r="EU541" s="33"/>
      <c r="EV541" s="33"/>
      <c r="EW541" s="33"/>
      <c r="EX541" s="33"/>
      <c r="EY541" s="33"/>
    </row>
    <row r="542" spans="44:155" x14ac:dyDescent="0.3">
      <c r="AR542" s="1"/>
      <c r="AS542" s="1"/>
      <c r="AT542" s="1"/>
      <c r="AU542" s="1"/>
      <c r="AV542" s="1"/>
      <c r="AW542" s="1"/>
      <c r="DS542" s="33"/>
      <c r="DT542" s="33"/>
      <c r="DU542" s="33"/>
      <c r="DV542" s="33"/>
      <c r="DW542" s="33"/>
      <c r="DX542" s="33"/>
      <c r="DY542" s="33"/>
      <c r="DZ542" s="33"/>
      <c r="EA542" s="33"/>
      <c r="EB542" s="33"/>
      <c r="EC542" s="33"/>
      <c r="ED542" s="33"/>
      <c r="EE542" s="33"/>
      <c r="EF542" s="33"/>
      <c r="EG542" s="33"/>
      <c r="EH542" s="33"/>
      <c r="EI542" s="33"/>
      <c r="EJ542" s="33"/>
      <c r="EK542" s="33"/>
      <c r="EL542" s="33"/>
      <c r="EM542" s="33"/>
      <c r="EN542" s="33"/>
      <c r="EO542" s="33"/>
      <c r="EP542" s="33"/>
      <c r="EQ542" s="33"/>
      <c r="ER542" s="33"/>
      <c r="ES542" s="33"/>
      <c r="ET542" s="33"/>
      <c r="EU542" s="33"/>
      <c r="EV542" s="33"/>
      <c r="EW542" s="33"/>
      <c r="EX542" s="33"/>
      <c r="EY542" s="33"/>
    </row>
    <row r="543" spans="44:155" x14ac:dyDescent="0.3">
      <c r="AR543" s="1"/>
      <c r="AS543" s="1"/>
      <c r="AT543" s="1"/>
      <c r="AU543" s="1"/>
      <c r="AV543" s="1"/>
      <c r="AW543" s="1"/>
      <c r="DS543" s="33"/>
      <c r="DT543" s="33"/>
      <c r="DU543" s="33"/>
      <c r="DV543" s="33"/>
      <c r="DW543" s="33"/>
      <c r="DX543" s="33"/>
      <c r="DY543" s="33"/>
      <c r="DZ543" s="33"/>
      <c r="EA543" s="33"/>
      <c r="EB543" s="33"/>
      <c r="EC543" s="33"/>
      <c r="ED543" s="33"/>
      <c r="EE543" s="33"/>
      <c r="EF543" s="33"/>
      <c r="EG543" s="33"/>
      <c r="EH543" s="33"/>
      <c r="EI543" s="33"/>
      <c r="EJ543" s="33"/>
      <c r="EK543" s="33"/>
      <c r="EL543" s="33"/>
      <c r="EM543" s="33"/>
      <c r="EN543" s="33"/>
      <c r="EO543" s="33"/>
      <c r="EP543" s="33"/>
      <c r="EQ543" s="33"/>
      <c r="ER543" s="33"/>
      <c r="ES543" s="33"/>
      <c r="ET543" s="33"/>
      <c r="EU543" s="33"/>
      <c r="EV543" s="33"/>
      <c r="EW543" s="33"/>
      <c r="EX543" s="33"/>
      <c r="EY543" s="33"/>
    </row>
    <row r="544" spans="44:155" x14ac:dyDescent="0.3">
      <c r="AR544" s="1"/>
      <c r="AS544" s="1"/>
      <c r="AT544" s="1"/>
      <c r="AU544" s="1"/>
      <c r="AV544" s="1"/>
      <c r="AW544" s="1"/>
      <c r="DS544" s="33"/>
      <c r="DT544" s="33"/>
      <c r="DU544" s="33"/>
      <c r="DV544" s="33"/>
      <c r="DW544" s="33"/>
      <c r="DX544" s="33"/>
      <c r="DY544" s="33"/>
      <c r="DZ544" s="33"/>
      <c r="EA544" s="33"/>
      <c r="EB544" s="33"/>
      <c r="EC544" s="33"/>
      <c r="ED544" s="33"/>
      <c r="EE544" s="33"/>
      <c r="EF544" s="33"/>
      <c r="EG544" s="33"/>
      <c r="EH544" s="33"/>
      <c r="EI544" s="33"/>
      <c r="EJ544" s="33"/>
      <c r="EK544" s="33"/>
      <c r="EL544" s="33"/>
      <c r="EM544" s="33"/>
      <c r="EN544" s="33"/>
      <c r="EO544" s="33"/>
      <c r="EP544" s="33"/>
      <c r="EQ544" s="33"/>
      <c r="ER544" s="33"/>
      <c r="ES544" s="33"/>
      <c r="ET544" s="33"/>
      <c r="EU544" s="33"/>
      <c r="EV544" s="33"/>
      <c r="EW544" s="33"/>
      <c r="EX544" s="33"/>
      <c r="EY544" s="33"/>
    </row>
    <row r="545" spans="44:155" x14ac:dyDescent="0.3">
      <c r="AR545" s="1"/>
      <c r="AS545" s="1"/>
      <c r="AT545" s="1"/>
      <c r="AU545" s="1"/>
      <c r="AV545" s="1"/>
      <c r="AW545" s="1"/>
      <c r="DS545" s="33"/>
      <c r="DT545" s="33"/>
      <c r="DU545" s="33"/>
      <c r="DV545" s="33"/>
      <c r="DW545" s="33"/>
      <c r="DX545" s="33"/>
      <c r="DY545" s="33"/>
      <c r="DZ545" s="33"/>
      <c r="EA545" s="33"/>
      <c r="EB545" s="33"/>
      <c r="EC545" s="33"/>
      <c r="ED545" s="33"/>
      <c r="EE545" s="33"/>
      <c r="EF545" s="33"/>
      <c r="EG545" s="33"/>
      <c r="EH545" s="33"/>
      <c r="EI545" s="33"/>
      <c r="EJ545" s="33"/>
      <c r="EK545" s="33"/>
      <c r="EL545" s="33"/>
      <c r="EM545" s="33"/>
      <c r="EN545" s="33"/>
      <c r="EO545" s="33"/>
      <c r="EP545" s="33"/>
      <c r="EQ545" s="33"/>
      <c r="ER545" s="33"/>
      <c r="ES545" s="33"/>
      <c r="ET545" s="33"/>
      <c r="EU545" s="33"/>
      <c r="EV545" s="33"/>
      <c r="EW545" s="33"/>
      <c r="EX545" s="33"/>
      <c r="EY545" s="33"/>
    </row>
    <row r="546" spans="44:155" x14ac:dyDescent="0.3">
      <c r="AR546" s="1"/>
      <c r="AS546" s="1"/>
      <c r="AT546" s="1"/>
      <c r="AU546" s="1"/>
      <c r="AV546" s="1"/>
      <c r="AW546" s="1"/>
      <c r="DS546" s="33"/>
      <c r="DT546" s="33"/>
      <c r="DU546" s="33"/>
      <c r="DV546" s="33"/>
      <c r="DW546" s="33"/>
      <c r="DX546" s="33"/>
      <c r="DY546" s="33"/>
      <c r="DZ546" s="33"/>
      <c r="EA546" s="33"/>
      <c r="EB546" s="33"/>
      <c r="EC546" s="33"/>
      <c r="ED546" s="33"/>
      <c r="EE546" s="33"/>
      <c r="EF546" s="33"/>
      <c r="EG546" s="33"/>
      <c r="EH546" s="33"/>
      <c r="EI546" s="33"/>
      <c r="EJ546" s="33"/>
      <c r="EK546" s="33"/>
      <c r="EL546" s="33"/>
      <c r="EM546" s="33"/>
      <c r="EN546" s="33"/>
      <c r="EO546" s="33"/>
      <c r="EP546" s="33"/>
      <c r="EQ546" s="33"/>
      <c r="ER546" s="33"/>
      <c r="ES546" s="33"/>
      <c r="ET546" s="33"/>
      <c r="EU546" s="33"/>
      <c r="EV546" s="33"/>
      <c r="EW546" s="33"/>
      <c r="EX546" s="33"/>
      <c r="EY546" s="33"/>
    </row>
    <row r="547" spans="44:155" x14ac:dyDescent="0.3">
      <c r="AR547" s="1"/>
      <c r="AS547" s="1"/>
      <c r="AT547" s="1"/>
      <c r="AU547" s="1"/>
      <c r="AV547" s="1"/>
      <c r="AW547" s="1"/>
      <c r="DS547" s="33"/>
      <c r="DT547" s="33"/>
      <c r="DU547" s="33"/>
      <c r="DV547" s="33"/>
      <c r="DW547" s="33"/>
      <c r="DX547" s="33"/>
      <c r="DY547" s="33"/>
      <c r="DZ547" s="33"/>
      <c r="EA547" s="33"/>
      <c r="EB547" s="33"/>
      <c r="EC547" s="33"/>
      <c r="ED547" s="33"/>
      <c r="EE547" s="33"/>
      <c r="EF547" s="33"/>
      <c r="EG547" s="33"/>
      <c r="EH547" s="33"/>
      <c r="EI547" s="33"/>
      <c r="EJ547" s="33"/>
      <c r="EK547" s="33"/>
      <c r="EL547" s="33"/>
      <c r="EM547" s="33"/>
      <c r="EN547" s="33"/>
      <c r="EO547" s="33"/>
      <c r="EP547" s="33"/>
      <c r="EQ547" s="33"/>
      <c r="ER547" s="33"/>
      <c r="ES547" s="33"/>
      <c r="ET547" s="33"/>
      <c r="EU547" s="33"/>
      <c r="EV547" s="33"/>
      <c r="EW547" s="33"/>
      <c r="EX547" s="33"/>
      <c r="EY547" s="33"/>
    </row>
    <row r="548" spans="44:155" x14ac:dyDescent="0.3">
      <c r="AR548" s="1"/>
      <c r="AS548" s="1"/>
      <c r="AT548" s="1"/>
      <c r="AU548" s="1"/>
      <c r="AV548" s="1"/>
      <c r="AW548" s="1"/>
      <c r="DS548" s="33"/>
      <c r="DT548" s="33"/>
      <c r="DU548" s="33"/>
      <c r="DV548" s="33"/>
      <c r="DW548" s="33"/>
      <c r="DX548" s="33"/>
      <c r="DY548" s="33"/>
      <c r="DZ548" s="33"/>
      <c r="EA548" s="33"/>
      <c r="EB548" s="33"/>
      <c r="EC548" s="33"/>
      <c r="ED548" s="33"/>
      <c r="EE548" s="33"/>
      <c r="EF548" s="33"/>
      <c r="EG548" s="33"/>
      <c r="EH548" s="33"/>
      <c r="EI548" s="33"/>
      <c r="EJ548" s="33"/>
      <c r="EK548" s="33"/>
      <c r="EL548" s="33"/>
      <c r="EM548" s="33"/>
      <c r="EN548" s="33"/>
      <c r="EO548" s="33"/>
      <c r="EP548" s="33"/>
      <c r="EQ548" s="33"/>
      <c r="ER548" s="33"/>
      <c r="ES548" s="33"/>
      <c r="ET548" s="33"/>
      <c r="EU548" s="33"/>
      <c r="EV548" s="33"/>
      <c r="EW548" s="33"/>
      <c r="EX548" s="33"/>
      <c r="EY548" s="33"/>
    </row>
    <row r="549" spans="44:155" x14ac:dyDescent="0.3">
      <c r="AR549" s="1"/>
      <c r="AS549" s="1"/>
      <c r="AT549" s="1"/>
      <c r="AU549" s="1"/>
      <c r="AV549" s="1"/>
      <c r="AW549" s="1"/>
      <c r="DS549" s="33"/>
      <c r="DT549" s="33"/>
      <c r="DU549" s="33"/>
      <c r="DV549" s="33"/>
      <c r="DW549" s="33"/>
      <c r="DX549" s="33"/>
      <c r="DY549" s="33"/>
      <c r="DZ549" s="33"/>
      <c r="EA549" s="33"/>
      <c r="EB549" s="33"/>
      <c r="EC549" s="33"/>
      <c r="ED549" s="33"/>
      <c r="EE549" s="33"/>
      <c r="EF549" s="33"/>
      <c r="EG549" s="33"/>
      <c r="EH549" s="33"/>
      <c r="EI549" s="33"/>
      <c r="EJ549" s="33"/>
      <c r="EK549" s="33"/>
      <c r="EL549" s="33"/>
      <c r="EM549" s="33"/>
      <c r="EN549" s="33"/>
      <c r="EO549" s="33"/>
      <c r="EP549" s="33"/>
      <c r="EQ549" s="33"/>
      <c r="ER549" s="33"/>
      <c r="ES549" s="33"/>
      <c r="ET549" s="33"/>
      <c r="EU549" s="33"/>
      <c r="EV549" s="33"/>
      <c r="EW549" s="33"/>
      <c r="EX549" s="33"/>
      <c r="EY549" s="33"/>
    </row>
    <row r="550" spans="44:155" x14ac:dyDescent="0.3">
      <c r="AR550" s="1"/>
      <c r="AS550" s="1"/>
      <c r="AT550" s="1"/>
      <c r="AU550" s="1"/>
      <c r="AV550" s="1"/>
      <c r="AW550" s="1"/>
      <c r="DS550" s="33"/>
      <c r="DT550" s="33"/>
      <c r="DU550" s="33"/>
      <c r="DV550" s="33"/>
      <c r="DW550" s="33"/>
      <c r="DX550" s="33"/>
      <c r="DY550" s="33"/>
      <c r="DZ550" s="33"/>
      <c r="EA550" s="33"/>
      <c r="EB550" s="33"/>
      <c r="EC550" s="33"/>
      <c r="ED550" s="33"/>
      <c r="EE550" s="33"/>
      <c r="EF550" s="33"/>
      <c r="EG550" s="33"/>
      <c r="EH550" s="33"/>
      <c r="EI550" s="33"/>
      <c r="EJ550" s="33"/>
      <c r="EK550" s="33"/>
      <c r="EL550" s="33"/>
      <c r="EM550" s="33"/>
      <c r="EN550" s="33"/>
      <c r="EO550" s="33"/>
      <c r="EP550" s="33"/>
      <c r="EQ550" s="33"/>
      <c r="ER550" s="33"/>
      <c r="ES550" s="33"/>
      <c r="ET550" s="33"/>
      <c r="EU550" s="33"/>
      <c r="EV550" s="33"/>
      <c r="EW550" s="33"/>
      <c r="EX550" s="33"/>
      <c r="EY550" s="33"/>
    </row>
    <row r="551" spans="44:155" x14ac:dyDescent="0.3">
      <c r="AR551" s="1"/>
      <c r="AS551" s="1"/>
      <c r="AT551" s="1"/>
      <c r="AU551" s="1"/>
      <c r="AV551" s="1"/>
      <c r="AW551" s="1"/>
      <c r="DS551" s="33"/>
      <c r="DT551" s="33"/>
      <c r="DU551" s="33"/>
      <c r="DV551" s="33"/>
      <c r="DW551" s="33"/>
      <c r="DX551" s="33"/>
      <c r="DY551" s="33"/>
      <c r="DZ551" s="33"/>
      <c r="EA551" s="33"/>
      <c r="EB551" s="33"/>
      <c r="EC551" s="33"/>
      <c r="ED551" s="33"/>
      <c r="EE551" s="33"/>
      <c r="EF551" s="33"/>
      <c r="EG551" s="33"/>
      <c r="EH551" s="33"/>
      <c r="EI551" s="33"/>
      <c r="EJ551" s="33"/>
      <c r="EK551" s="33"/>
      <c r="EL551" s="33"/>
      <c r="EM551" s="33"/>
      <c r="EN551" s="33"/>
      <c r="EO551" s="33"/>
      <c r="EP551" s="33"/>
      <c r="EQ551" s="33"/>
      <c r="ER551" s="33"/>
      <c r="ES551" s="33"/>
      <c r="ET551" s="33"/>
      <c r="EU551" s="33"/>
      <c r="EV551" s="33"/>
      <c r="EW551" s="33"/>
      <c r="EX551" s="33"/>
      <c r="EY551" s="33"/>
    </row>
    <row r="552" spans="44:155" x14ac:dyDescent="0.3">
      <c r="AR552" s="1"/>
      <c r="AS552" s="1"/>
      <c r="AT552" s="1"/>
      <c r="AU552" s="1"/>
      <c r="AV552" s="1"/>
      <c r="AW552" s="1"/>
      <c r="DS552" s="33"/>
      <c r="DT552" s="33"/>
      <c r="DU552" s="33"/>
      <c r="DV552" s="33"/>
      <c r="DW552" s="33"/>
      <c r="DX552" s="33"/>
      <c r="DY552" s="33"/>
      <c r="DZ552" s="33"/>
      <c r="EA552" s="33"/>
      <c r="EB552" s="33"/>
      <c r="EC552" s="33"/>
      <c r="ED552" s="33"/>
      <c r="EE552" s="33"/>
      <c r="EF552" s="33"/>
      <c r="EG552" s="33"/>
      <c r="EH552" s="33"/>
      <c r="EI552" s="33"/>
      <c r="EJ552" s="33"/>
      <c r="EK552" s="33"/>
      <c r="EL552" s="33"/>
      <c r="EM552" s="33"/>
      <c r="EN552" s="33"/>
      <c r="EO552" s="33"/>
      <c r="EP552" s="33"/>
      <c r="EQ552" s="33"/>
      <c r="ER552" s="33"/>
      <c r="ES552" s="33"/>
      <c r="ET552" s="33"/>
      <c r="EU552" s="33"/>
      <c r="EV552" s="33"/>
      <c r="EW552" s="33"/>
      <c r="EX552" s="33"/>
      <c r="EY552" s="33"/>
    </row>
    <row r="553" spans="44:155" x14ac:dyDescent="0.3">
      <c r="AR553" s="1"/>
      <c r="AS553" s="1"/>
      <c r="AT553" s="1"/>
      <c r="AU553" s="1"/>
      <c r="AV553" s="1"/>
      <c r="AW553" s="1"/>
      <c r="DS553" s="33"/>
      <c r="DT553" s="33"/>
      <c r="DU553" s="33"/>
      <c r="DV553" s="33"/>
      <c r="DW553" s="33"/>
      <c r="DX553" s="33"/>
      <c r="DY553" s="33"/>
      <c r="DZ553" s="33"/>
      <c r="EA553" s="33"/>
      <c r="EB553" s="33"/>
      <c r="EC553" s="33"/>
      <c r="ED553" s="33"/>
      <c r="EE553" s="33"/>
      <c r="EF553" s="33"/>
      <c r="EG553" s="33"/>
      <c r="EH553" s="33"/>
      <c r="EI553" s="33"/>
      <c r="EJ553" s="33"/>
      <c r="EK553" s="33"/>
      <c r="EL553" s="33"/>
      <c r="EM553" s="33"/>
      <c r="EN553" s="33"/>
      <c r="EO553" s="33"/>
      <c r="EP553" s="33"/>
      <c r="EQ553" s="33"/>
      <c r="ER553" s="33"/>
      <c r="ES553" s="33"/>
      <c r="ET553" s="33"/>
      <c r="EU553" s="33"/>
      <c r="EV553" s="33"/>
      <c r="EW553" s="33"/>
      <c r="EX553" s="33"/>
      <c r="EY553" s="33"/>
    </row>
    <row r="554" spans="44:155" x14ac:dyDescent="0.3">
      <c r="AR554" s="1"/>
      <c r="AS554" s="1"/>
      <c r="AT554" s="1"/>
      <c r="AU554" s="1"/>
      <c r="AV554" s="1"/>
      <c r="AW554" s="1"/>
      <c r="DS554" s="33"/>
      <c r="DT554" s="33"/>
      <c r="DU554" s="33"/>
      <c r="DV554" s="33"/>
      <c r="DW554" s="33"/>
      <c r="DX554" s="33"/>
      <c r="DY554" s="33"/>
      <c r="DZ554" s="33"/>
      <c r="EA554" s="33"/>
      <c r="EB554" s="33"/>
      <c r="EC554" s="33"/>
      <c r="ED554" s="33"/>
      <c r="EE554" s="33"/>
      <c r="EF554" s="33"/>
      <c r="EG554" s="33"/>
      <c r="EH554" s="33"/>
      <c r="EI554" s="33"/>
      <c r="EJ554" s="33"/>
      <c r="EK554" s="33"/>
      <c r="EL554" s="33"/>
      <c r="EM554" s="33"/>
      <c r="EN554" s="33"/>
      <c r="EO554" s="33"/>
      <c r="EP554" s="33"/>
      <c r="EQ554" s="33"/>
      <c r="ER554" s="33"/>
      <c r="ES554" s="33"/>
      <c r="ET554" s="33"/>
      <c r="EU554" s="33"/>
      <c r="EV554" s="33"/>
      <c r="EW554" s="33"/>
      <c r="EX554" s="33"/>
      <c r="EY554" s="33"/>
    </row>
    <row r="555" spans="44:155" x14ac:dyDescent="0.3">
      <c r="AR555" s="1"/>
      <c r="AS555" s="1"/>
      <c r="AT555" s="1"/>
      <c r="AU555" s="1"/>
      <c r="AV555" s="1"/>
      <c r="AW555" s="1"/>
      <c r="DS555" s="33"/>
      <c r="DT555" s="33"/>
      <c r="DU555" s="33"/>
      <c r="DV555" s="33"/>
      <c r="DW555" s="33"/>
      <c r="DX555" s="33"/>
      <c r="DY555" s="33"/>
      <c r="DZ555" s="33"/>
      <c r="EA555" s="33"/>
      <c r="EB555" s="33"/>
      <c r="EC555" s="33"/>
      <c r="ED555" s="33"/>
      <c r="EE555" s="33"/>
      <c r="EF555" s="33"/>
      <c r="EG555" s="33"/>
      <c r="EH555" s="33"/>
      <c r="EI555" s="33"/>
      <c r="EJ555" s="33"/>
      <c r="EK555" s="33"/>
      <c r="EL555" s="33"/>
      <c r="EM555" s="33"/>
      <c r="EN555" s="33"/>
      <c r="EO555" s="33"/>
      <c r="EP555" s="33"/>
      <c r="EQ555" s="33"/>
      <c r="ER555" s="33"/>
      <c r="ES555" s="33"/>
      <c r="ET555" s="33"/>
      <c r="EU555" s="33"/>
      <c r="EV555" s="33"/>
      <c r="EW555" s="33"/>
      <c r="EX555" s="33"/>
      <c r="EY555" s="33"/>
    </row>
    <row r="556" spans="44:155" x14ac:dyDescent="0.3">
      <c r="AR556" s="1"/>
      <c r="AS556" s="1"/>
      <c r="AT556" s="1"/>
      <c r="AU556" s="1"/>
      <c r="AV556" s="1"/>
      <c r="AW556" s="1"/>
      <c r="DS556" s="33"/>
      <c r="DT556" s="33"/>
      <c r="DU556" s="33"/>
      <c r="DV556" s="33"/>
      <c r="DW556" s="33"/>
      <c r="DX556" s="33"/>
      <c r="DY556" s="33"/>
      <c r="DZ556" s="33"/>
      <c r="EA556" s="33"/>
      <c r="EB556" s="33"/>
      <c r="EC556" s="33"/>
      <c r="ED556" s="33"/>
      <c r="EE556" s="33"/>
      <c r="EF556" s="33"/>
      <c r="EG556" s="33"/>
      <c r="EH556" s="33"/>
      <c r="EI556" s="33"/>
      <c r="EJ556" s="33"/>
      <c r="EK556" s="33"/>
      <c r="EL556" s="33"/>
      <c r="EM556" s="33"/>
      <c r="EN556" s="33"/>
      <c r="EO556" s="33"/>
      <c r="EP556" s="33"/>
      <c r="EQ556" s="33"/>
      <c r="ER556" s="33"/>
      <c r="ES556" s="33"/>
      <c r="ET556" s="33"/>
      <c r="EU556" s="33"/>
      <c r="EV556" s="33"/>
      <c r="EW556" s="33"/>
      <c r="EX556" s="33"/>
      <c r="EY556" s="33"/>
    </row>
    <row r="557" spans="44:155" x14ac:dyDescent="0.3">
      <c r="AR557" s="1"/>
      <c r="AS557" s="1"/>
      <c r="AT557" s="1"/>
      <c r="AU557" s="1"/>
      <c r="AV557" s="1"/>
      <c r="AW557" s="1"/>
      <c r="DS557" s="33"/>
      <c r="DT557" s="33"/>
      <c r="DU557" s="33"/>
      <c r="DV557" s="33"/>
      <c r="DW557" s="33"/>
      <c r="DX557" s="33"/>
      <c r="DY557" s="33"/>
      <c r="DZ557" s="33"/>
      <c r="EA557" s="33"/>
      <c r="EB557" s="33"/>
      <c r="EC557" s="33"/>
      <c r="ED557" s="33"/>
      <c r="EE557" s="33"/>
      <c r="EF557" s="33"/>
      <c r="EG557" s="33"/>
      <c r="EH557" s="33"/>
      <c r="EI557" s="33"/>
      <c r="EJ557" s="33"/>
      <c r="EK557" s="33"/>
      <c r="EL557" s="33"/>
      <c r="EM557" s="33"/>
      <c r="EN557" s="33"/>
      <c r="EO557" s="33"/>
      <c r="EP557" s="33"/>
      <c r="EQ557" s="33"/>
      <c r="ER557" s="33"/>
      <c r="ES557" s="33"/>
      <c r="ET557" s="33"/>
      <c r="EU557" s="33"/>
      <c r="EV557" s="33"/>
      <c r="EW557" s="33"/>
      <c r="EX557" s="33"/>
      <c r="EY557" s="33"/>
    </row>
    <row r="558" spans="44:155" x14ac:dyDescent="0.3">
      <c r="AR558" s="1"/>
      <c r="AS558" s="1"/>
      <c r="AT558" s="1"/>
      <c r="AU558" s="1"/>
      <c r="AV558" s="1"/>
      <c r="AW558" s="1"/>
      <c r="DS558" s="33"/>
      <c r="DT558" s="33"/>
      <c r="DU558" s="33"/>
      <c r="DV558" s="33"/>
      <c r="DW558" s="33"/>
      <c r="DX558" s="33"/>
      <c r="DY558" s="33"/>
      <c r="DZ558" s="33"/>
      <c r="EA558" s="33"/>
      <c r="EB558" s="33"/>
      <c r="EC558" s="33"/>
      <c r="ED558" s="33"/>
      <c r="EE558" s="33"/>
      <c r="EF558" s="33"/>
      <c r="EG558" s="33"/>
      <c r="EH558" s="33"/>
      <c r="EI558" s="33"/>
      <c r="EJ558" s="33"/>
      <c r="EK558" s="33"/>
      <c r="EL558" s="33"/>
      <c r="EM558" s="33"/>
      <c r="EN558" s="33"/>
      <c r="EO558" s="33"/>
      <c r="EP558" s="33"/>
      <c r="EQ558" s="33"/>
      <c r="ER558" s="33"/>
      <c r="ES558" s="33"/>
      <c r="ET558" s="33"/>
      <c r="EU558" s="33"/>
      <c r="EV558" s="33"/>
      <c r="EW558" s="33"/>
      <c r="EX558" s="33"/>
      <c r="EY558" s="33"/>
    </row>
    <row r="559" spans="44:155" x14ac:dyDescent="0.3">
      <c r="AR559" s="1"/>
      <c r="AS559" s="1"/>
      <c r="AT559" s="1"/>
      <c r="AU559" s="1"/>
      <c r="AV559" s="1"/>
      <c r="AW559" s="1"/>
      <c r="DS559" s="33"/>
      <c r="DT559" s="33"/>
      <c r="DU559" s="33"/>
      <c r="DV559" s="33"/>
      <c r="DW559" s="33"/>
      <c r="DX559" s="33"/>
      <c r="DY559" s="33"/>
      <c r="DZ559" s="33"/>
      <c r="EA559" s="33"/>
      <c r="EB559" s="33"/>
      <c r="EC559" s="33"/>
      <c r="ED559" s="33"/>
      <c r="EE559" s="33"/>
      <c r="EF559" s="33"/>
      <c r="EG559" s="33"/>
      <c r="EH559" s="33"/>
      <c r="EI559" s="33"/>
      <c r="EJ559" s="33"/>
      <c r="EK559" s="33"/>
      <c r="EL559" s="33"/>
      <c r="EM559" s="33"/>
      <c r="EN559" s="33"/>
      <c r="EO559" s="33"/>
      <c r="EP559" s="33"/>
      <c r="EQ559" s="33"/>
      <c r="ER559" s="33"/>
      <c r="ES559" s="33"/>
      <c r="ET559" s="33"/>
      <c r="EU559" s="33"/>
      <c r="EV559" s="33"/>
      <c r="EW559" s="33"/>
      <c r="EX559" s="33"/>
      <c r="EY559" s="33"/>
    </row>
    <row r="560" spans="44:155" x14ac:dyDescent="0.3">
      <c r="AR560" s="1"/>
      <c r="AS560" s="1"/>
      <c r="AT560" s="1"/>
      <c r="AU560" s="1"/>
      <c r="AV560" s="1"/>
      <c r="AW560" s="1"/>
      <c r="DS560" s="33"/>
      <c r="DT560" s="33"/>
      <c r="DU560" s="33"/>
      <c r="DV560" s="33"/>
      <c r="DW560" s="33"/>
      <c r="DX560" s="33"/>
      <c r="DY560" s="33"/>
      <c r="DZ560" s="33"/>
      <c r="EA560" s="33"/>
      <c r="EB560" s="33"/>
      <c r="EC560" s="33"/>
      <c r="ED560" s="33"/>
      <c r="EE560" s="33"/>
      <c r="EF560" s="33"/>
      <c r="EG560" s="33"/>
      <c r="EH560" s="33"/>
      <c r="EI560" s="33"/>
      <c r="EJ560" s="33"/>
      <c r="EK560" s="33"/>
      <c r="EL560" s="33"/>
      <c r="EM560" s="33"/>
      <c r="EN560" s="33"/>
      <c r="EO560" s="33"/>
      <c r="EP560" s="33"/>
      <c r="EQ560" s="33"/>
      <c r="ER560" s="33"/>
      <c r="ES560" s="33"/>
      <c r="ET560" s="33"/>
      <c r="EU560" s="33"/>
      <c r="EV560" s="33"/>
      <c r="EW560" s="33"/>
      <c r="EX560" s="33"/>
      <c r="EY560" s="33"/>
    </row>
    <row r="561" spans="44:155" x14ac:dyDescent="0.3">
      <c r="AR561" s="1"/>
      <c r="AS561" s="1"/>
      <c r="AT561" s="1"/>
      <c r="AU561" s="1"/>
      <c r="AV561" s="1"/>
      <c r="AW561" s="1"/>
      <c r="DS561" s="33"/>
      <c r="DT561" s="33"/>
      <c r="DU561" s="33"/>
      <c r="DV561" s="33"/>
      <c r="DW561" s="33"/>
      <c r="DX561" s="33"/>
      <c r="DY561" s="33"/>
      <c r="DZ561" s="33"/>
      <c r="EA561" s="33"/>
      <c r="EB561" s="33"/>
      <c r="EC561" s="33"/>
      <c r="ED561" s="33"/>
      <c r="EE561" s="33"/>
      <c r="EF561" s="33"/>
      <c r="EG561" s="33"/>
      <c r="EH561" s="33"/>
      <c r="EI561" s="33"/>
      <c r="EJ561" s="33"/>
      <c r="EK561" s="33"/>
      <c r="EL561" s="33"/>
      <c r="EM561" s="33"/>
      <c r="EN561" s="33"/>
      <c r="EO561" s="33"/>
      <c r="EP561" s="33"/>
      <c r="EQ561" s="33"/>
      <c r="ER561" s="33"/>
      <c r="ES561" s="33"/>
      <c r="ET561" s="33"/>
      <c r="EU561" s="33"/>
      <c r="EV561" s="33"/>
      <c r="EW561" s="33"/>
      <c r="EX561" s="33"/>
      <c r="EY561" s="33"/>
    </row>
    <row r="562" spans="44:155" x14ac:dyDescent="0.3">
      <c r="AR562" s="1"/>
      <c r="AS562" s="1"/>
      <c r="AT562" s="1"/>
      <c r="AU562" s="1"/>
      <c r="AV562" s="1"/>
      <c r="AW562" s="1"/>
      <c r="DS562" s="33"/>
      <c r="DT562" s="33"/>
      <c r="DU562" s="33"/>
      <c r="DV562" s="33"/>
      <c r="DW562" s="33"/>
      <c r="DX562" s="33"/>
      <c r="DY562" s="33"/>
      <c r="DZ562" s="33"/>
      <c r="EA562" s="33"/>
      <c r="EB562" s="33"/>
      <c r="EC562" s="33"/>
      <c r="ED562" s="33"/>
      <c r="EE562" s="33"/>
      <c r="EF562" s="33"/>
      <c r="EG562" s="33"/>
      <c r="EH562" s="33"/>
      <c r="EI562" s="33"/>
      <c r="EJ562" s="33"/>
      <c r="EK562" s="33"/>
      <c r="EL562" s="33"/>
      <c r="EM562" s="33"/>
      <c r="EN562" s="33"/>
      <c r="EO562" s="33"/>
      <c r="EP562" s="33"/>
      <c r="EQ562" s="33"/>
      <c r="ER562" s="33"/>
      <c r="ES562" s="33"/>
      <c r="ET562" s="33"/>
      <c r="EU562" s="33"/>
      <c r="EV562" s="33"/>
      <c r="EW562" s="33"/>
      <c r="EX562" s="33"/>
      <c r="EY562" s="33"/>
    </row>
    <row r="563" spans="44:155" x14ac:dyDescent="0.3">
      <c r="AR563" s="1"/>
      <c r="AS563" s="1"/>
      <c r="AT563" s="1"/>
      <c r="AU563" s="1"/>
      <c r="AV563" s="1"/>
      <c r="AW563" s="1"/>
      <c r="DS563" s="33"/>
      <c r="DT563" s="33"/>
      <c r="DU563" s="33"/>
      <c r="DV563" s="33"/>
      <c r="DW563" s="33"/>
      <c r="DX563" s="33"/>
      <c r="DY563" s="33"/>
      <c r="DZ563" s="33"/>
      <c r="EA563" s="33"/>
      <c r="EB563" s="33"/>
      <c r="EC563" s="33"/>
      <c r="ED563" s="33"/>
      <c r="EE563" s="33"/>
      <c r="EF563" s="33"/>
      <c r="EG563" s="33"/>
      <c r="EH563" s="33"/>
      <c r="EI563" s="33"/>
      <c r="EJ563" s="33"/>
      <c r="EK563" s="33"/>
      <c r="EL563" s="33"/>
      <c r="EM563" s="33"/>
      <c r="EN563" s="33"/>
      <c r="EO563" s="33"/>
      <c r="EP563" s="33"/>
      <c r="EQ563" s="33"/>
      <c r="ER563" s="33"/>
      <c r="ES563" s="33"/>
      <c r="ET563" s="33"/>
      <c r="EU563" s="33"/>
      <c r="EV563" s="33"/>
      <c r="EW563" s="33"/>
      <c r="EX563" s="33"/>
      <c r="EY563" s="33"/>
    </row>
    <row r="564" spans="44:155" x14ac:dyDescent="0.3">
      <c r="AR564" s="1"/>
      <c r="AS564" s="1"/>
      <c r="AT564" s="1"/>
      <c r="AU564" s="1"/>
      <c r="AV564" s="1"/>
      <c r="AW564" s="1"/>
      <c r="DS564" s="33"/>
      <c r="DT564" s="33"/>
      <c r="DU564" s="33"/>
      <c r="DV564" s="33"/>
      <c r="DW564" s="33"/>
      <c r="DX564" s="33"/>
      <c r="DY564" s="33"/>
      <c r="DZ564" s="33"/>
      <c r="EA564" s="33"/>
      <c r="EB564" s="33"/>
      <c r="EC564" s="33"/>
      <c r="ED564" s="33"/>
      <c r="EE564" s="33"/>
      <c r="EF564" s="33"/>
      <c r="EG564" s="33"/>
      <c r="EH564" s="33"/>
      <c r="EI564" s="33"/>
      <c r="EJ564" s="33"/>
      <c r="EK564" s="33"/>
      <c r="EL564" s="33"/>
      <c r="EM564" s="33"/>
      <c r="EN564" s="33"/>
      <c r="EO564" s="33"/>
      <c r="EP564" s="33"/>
      <c r="EQ564" s="33"/>
      <c r="ER564" s="33"/>
      <c r="ES564" s="33"/>
      <c r="ET564" s="33"/>
      <c r="EU564" s="33"/>
      <c r="EV564" s="33"/>
      <c r="EW564" s="33"/>
      <c r="EX564" s="33"/>
      <c r="EY564" s="33"/>
    </row>
    <row r="565" spans="44:155" x14ac:dyDescent="0.3">
      <c r="AR565" s="1"/>
      <c r="AS565" s="1"/>
      <c r="AT565" s="1"/>
      <c r="AU565" s="1"/>
      <c r="AV565" s="1"/>
      <c r="AW565" s="1"/>
      <c r="DS565" s="33"/>
      <c r="DT565" s="33"/>
      <c r="DU565" s="33"/>
      <c r="DV565" s="33"/>
      <c r="DW565" s="33"/>
      <c r="DX565" s="33"/>
      <c r="DY565" s="33"/>
      <c r="DZ565" s="33"/>
      <c r="EA565" s="33"/>
      <c r="EB565" s="33"/>
      <c r="EC565" s="33"/>
      <c r="ED565" s="33"/>
      <c r="EE565" s="33"/>
      <c r="EF565" s="33"/>
      <c r="EG565" s="33"/>
      <c r="EH565" s="33"/>
      <c r="EI565" s="33"/>
      <c r="EJ565" s="33"/>
      <c r="EK565" s="33"/>
      <c r="EL565" s="33"/>
      <c r="EM565" s="33"/>
      <c r="EN565" s="33"/>
      <c r="EO565" s="33"/>
      <c r="EP565" s="33"/>
      <c r="EQ565" s="33"/>
      <c r="ER565" s="33"/>
      <c r="ES565" s="33"/>
      <c r="ET565" s="33"/>
      <c r="EU565" s="33"/>
      <c r="EV565" s="33"/>
      <c r="EW565" s="33"/>
      <c r="EX565" s="33"/>
      <c r="EY565" s="33"/>
    </row>
    <row r="566" spans="44:155" x14ac:dyDescent="0.3">
      <c r="AR566" s="1"/>
      <c r="AS566" s="1"/>
      <c r="AT566" s="1"/>
      <c r="AU566" s="1"/>
      <c r="AV566" s="1"/>
      <c r="AW566" s="1"/>
      <c r="DS566" s="33"/>
      <c r="DT566" s="33"/>
      <c r="DU566" s="33"/>
      <c r="DV566" s="33"/>
      <c r="DW566" s="33"/>
      <c r="DX566" s="33"/>
      <c r="DY566" s="33"/>
      <c r="DZ566" s="33"/>
      <c r="EA566" s="33"/>
      <c r="EB566" s="33"/>
      <c r="EC566" s="33"/>
      <c r="ED566" s="33"/>
      <c r="EE566" s="33"/>
      <c r="EF566" s="33"/>
      <c r="EG566" s="33"/>
      <c r="EH566" s="33"/>
      <c r="EI566" s="33"/>
      <c r="EJ566" s="33"/>
      <c r="EK566" s="33"/>
      <c r="EL566" s="33"/>
      <c r="EM566" s="33"/>
      <c r="EN566" s="33"/>
      <c r="EO566" s="33"/>
      <c r="EP566" s="33"/>
      <c r="EQ566" s="33"/>
      <c r="ER566" s="33"/>
      <c r="ES566" s="33"/>
      <c r="ET566" s="33"/>
      <c r="EU566" s="33"/>
      <c r="EV566" s="33"/>
      <c r="EW566" s="33"/>
      <c r="EX566" s="33"/>
      <c r="EY566" s="33"/>
    </row>
    <row r="567" spans="44:155" x14ac:dyDescent="0.3">
      <c r="AR567" s="1"/>
      <c r="AS567" s="1"/>
      <c r="AT567" s="1"/>
      <c r="AU567" s="1"/>
      <c r="AV567" s="1"/>
      <c r="AW567" s="1"/>
      <c r="DS567" s="33"/>
      <c r="DT567" s="33"/>
      <c r="DU567" s="33"/>
      <c r="DV567" s="33"/>
      <c r="DW567" s="33"/>
      <c r="DX567" s="33"/>
      <c r="DY567" s="33"/>
      <c r="DZ567" s="33"/>
      <c r="EA567" s="33"/>
      <c r="EB567" s="33"/>
      <c r="EC567" s="33"/>
      <c r="ED567" s="33"/>
      <c r="EE567" s="33"/>
      <c r="EF567" s="33"/>
      <c r="EG567" s="33"/>
      <c r="EH567" s="33"/>
      <c r="EI567" s="33"/>
      <c r="EJ567" s="33"/>
      <c r="EK567" s="33"/>
      <c r="EL567" s="33"/>
      <c r="EM567" s="33"/>
      <c r="EN567" s="33"/>
      <c r="EO567" s="33"/>
      <c r="EP567" s="33"/>
      <c r="EQ567" s="33"/>
      <c r="ER567" s="33"/>
      <c r="ES567" s="33"/>
      <c r="ET567" s="33"/>
      <c r="EU567" s="33"/>
      <c r="EV567" s="33"/>
      <c r="EW567" s="33"/>
      <c r="EX567" s="33"/>
      <c r="EY567" s="33"/>
    </row>
    <row r="568" spans="44:155" x14ac:dyDescent="0.3">
      <c r="AR568" s="1"/>
      <c r="AS568" s="1"/>
      <c r="AT568" s="1"/>
      <c r="AU568" s="1"/>
      <c r="AV568" s="1"/>
      <c r="AW568" s="1"/>
      <c r="DS568" s="33"/>
      <c r="DT568" s="33"/>
      <c r="DU568" s="33"/>
      <c r="DV568" s="33"/>
      <c r="DW568" s="33"/>
      <c r="DX568" s="33"/>
      <c r="DY568" s="33"/>
      <c r="DZ568" s="33"/>
      <c r="EA568" s="33"/>
      <c r="EB568" s="33"/>
      <c r="EC568" s="33"/>
      <c r="ED568" s="33"/>
      <c r="EE568" s="33"/>
      <c r="EF568" s="33"/>
      <c r="EG568" s="33"/>
      <c r="EH568" s="33"/>
      <c r="EI568" s="33"/>
      <c r="EJ568" s="33"/>
      <c r="EK568" s="33"/>
      <c r="EL568" s="33"/>
      <c r="EM568" s="33"/>
      <c r="EN568" s="33"/>
      <c r="EO568" s="33"/>
      <c r="EP568" s="33"/>
      <c r="EQ568" s="33"/>
      <c r="ER568" s="33"/>
      <c r="ES568" s="33"/>
      <c r="ET568" s="33"/>
      <c r="EU568" s="33"/>
      <c r="EV568" s="33"/>
      <c r="EW568" s="33"/>
      <c r="EX568" s="33"/>
      <c r="EY568" s="33"/>
    </row>
    <row r="569" spans="44:155" x14ac:dyDescent="0.3">
      <c r="AR569" s="1"/>
      <c r="AS569" s="1"/>
      <c r="AT569" s="1"/>
      <c r="AU569" s="1"/>
      <c r="AV569" s="1"/>
      <c r="AW569" s="1"/>
      <c r="DS569" s="33"/>
      <c r="DT569" s="33"/>
      <c r="DU569" s="33"/>
      <c r="DV569" s="33"/>
      <c r="DW569" s="33"/>
      <c r="DX569" s="33"/>
      <c r="DY569" s="33"/>
      <c r="DZ569" s="33"/>
      <c r="EA569" s="33"/>
      <c r="EB569" s="33"/>
      <c r="EC569" s="33"/>
      <c r="ED569" s="33"/>
      <c r="EE569" s="33"/>
      <c r="EF569" s="33"/>
      <c r="EG569" s="33"/>
      <c r="EH569" s="33"/>
      <c r="EI569" s="33"/>
      <c r="EJ569" s="33"/>
      <c r="EK569" s="33"/>
      <c r="EL569" s="33"/>
      <c r="EM569" s="33"/>
      <c r="EN569" s="33"/>
      <c r="EO569" s="33"/>
      <c r="EP569" s="33"/>
      <c r="EQ569" s="33"/>
      <c r="ER569" s="33"/>
      <c r="ES569" s="33"/>
      <c r="ET569" s="33"/>
      <c r="EU569" s="33"/>
      <c r="EV569" s="33"/>
      <c r="EW569" s="33"/>
      <c r="EX569" s="33"/>
      <c r="EY569" s="33"/>
    </row>
    <row r="570" spans="44:155" x14ac:dyDescent="0.3">
      <c r="AR570" s="1"/>
      <c r="AS570" s="1"/>
      <c r="AT570" s="1"/>
      <c r="AU570" s="1"/>
      <c r="AV570" s="1"/>
      <c r="AW570" s="1"/>
      <c r="DS570" s="33"/>
      <c r="DT570" s="33"/>
      <c r="DU570" s="33"/>
      <c r="DV570" s="33"/>
      <c r="DW570" s="33"/>
      <c r="DX570" s="33"/>
      <c r="DY570" s="33"/>
      <c r="DZ570" s="33"/>
      <c r="EA570" s="33"/>
      <c r="EB570" s="33"/>
      <c r="EC570" s="33"/>
      <c r="ED570" s="33"/>
      <c r="EE570" s="33"/>
      <c r="EF570" s="33"/>
      <c r="EG570" s="33"/>
      <c r="EH570" s="33"/>
      <c r="EI570" s="33"/>
      <c r="EJ570" s="33"/>
      <c r="EK570" s="33"/>
      <c r="EL570" s="33"/>
      <c r="EM570" s="33"/>
      <c r="EN570" s="33"/>
      <c r="EO570" s="33"/>
      <c r="EP570" s="33"/>
      <c r="EQ570" s="33"/>
      <c r="ER570" s="33"/>
      <c r="ES570" s="33"/>
      <c r="ET570" s="33"/>
      <c r="EU570" s="33"/>
      <c r="EV570" s="33"/>
      <c r="EW570" s="33"/>
      <c r="EX570" s="33"/>
      <c r="EY570" s="33"/>
    </row>
    <row r="571" spans="44:155" x14ac:dyDescent="0.3">
      <c r="AR571" s="1"/>
      <c r="AS571" s="1"/>
      <c r="AT571" s="1"/>
      <c r="AU571" s="1"/>
      <c r="AV571" s="1"/>
      <c r="AW571" s="1"/>
      <c r="DS571" s="33"/>
      <c r="DT571" s="33"/>
      <c r="DU571" s="33"/>
      <c r="DV571" s="33"/>
      <c r="DW571" s="33"/>
      <c r="DX571" s="33"/>
      <c r="DY571" s="33"/>
      <c r="DZ571" s="33"/>
      <c r="EA571" s="33"/>
      <c r="EB571" s="33"/>
      <c r="EC571" s="33"/>
      <c r="ED571" s="33"/>
      <c r="EE571" s="33"/>
      <c r="EF571" s="33"/>
      <c r="EG571" s="33"/>
      <c r="EH571" s="33"/>
      <c r="EI571" s="33"/>
      <c r="EJ571" s="33"/>
      <c r="EK571" s="33"/>
      <c r="EL571" s="33"/>
      <c r="EM571" s="33"/>
      <c r="EN571" s="33"/>
      <c r="EO571" s="33"/>
      <c r="EP571" s="33"/>
      <c r="EQ571" s="33"/>
      <c r="ER571" s="33"/>
      <c r="ES571" s="33"/>
      <c r="ET571" s="33"/>
      <c r="EU571" s="33"/>
      <c r="EV571" s="33"/>
      <c r="EW571" s="33"/>
      <c r="EX571" s="33"/>
      <c r="EY571" s="33"/>
    </row>
    <row r="572" spans="44:155" x14ac:dyDescent="0.3">
      <c r="AR572" s="1"/>
      <c r="AS572" s="1"/>
      <c r="AT572" s="1"/>
      <c r="AU572" s="1"/>
      <c r="AV572" s="1"/>
      <c r="AW572" s="1"/>
      <c r="DS572" s="33"/>
      <c r="DT572" s="33"/>
      <c r="DU572" s="33"/>
      <c r="DV572" s="33"/>
      <c r="DW572" s="33"/>
      <c r="DX572" s="33"/>
      <c r="DY572" s="33"/>
      <c r="DZ572" s="33"/>
      <c r="EA572" s="33"/>
      <c r="EB572" s="33"/>
      <c r="EC572" s="33"/>
      <c r="ED572" s="33"/>
      <c r="EE572" s="33"/>
      <c r="EF572" s="33"/>
      <c r="EG572" s="33"/>
      <c r="EH572" s="33"/>
      <c r="EI572" s="33"/>
      <c r="EJ572" s="33"/>
      <c r="EK572" s="33"/>
      <c r="EL572" s="33"/>
      <c r="EM572" s="33"/>
      <c r="EN572" s="33"/>
      <c r="EO572" s="33"/>
      <c r="EP572" s="33"/>
      <c r="EQ572" s="33"/>
      <c r="ER572" s="33"/>
      <c r="ES572" s="33"/>
      <c r="ET572" s="33"/>
      <c r="EU572" s="33"/>
      <c r="EV572" s="33"/>
      <c r="EW572" s="33"/>
      <c r="EX572" s="33"/>
      <c r="EY572" s="33"/>
    </row>
    <row r="573" spans="44:155" x14ac:dyDescent="0.3">
      <c r="AR573" s="1"/>
      <c r="AS573" s="1"/>
      <c r="AT573" s="1"/>
      <c r="AU573" s="1"/>
      <c r="AV573" s="1"/>
      <c r="AW573" s="1"/>
      <c r="DS573" s="33"/>
      <c r="DT573" s="33"/>
      <c r="DU573" s="33"/>
      <c r="DV573" s="33"/>
      <c r="DW573" s="33"/>
      <c r="DX573" s="33"/>
      <c r="DY573" s="33"/>
      <c r="DZ573" s="33"/>
      <c r="EA573" s="33"/>
      <c r="EB573" s="33"/>
      <c r="EC573" s="33"/>
      <c r="ED573" s="33"/>
      <c r="EE573" s="33"/>
      <c r="EF573" s="33"/>
      <c r="EG573" s="33"/>
      <c r="EH573" s="33"/>
      <c r="EI573" s="33"/>
      <c r="EJ573" s="33"/>
      <c r="EK573" s="33"/>
      <c r="EL573" s="33"/>
      <c r="EM573" s="33"/>
      <c r="EN573" s="33"/>
      <c r="EO573" s="33"/>
      <c r="EP573" s="33"/>
      <c r="EQ573" s="33"/>
      <c r="ER573" s="33"/>
      <c r="ES573" s="33"/>
      <c r="ET573" s="33"/>
      <c r="EU573" s="33"/>
      <c r="EV573" s="33"/>
      <c r="EW573" s="33"/>
      <c r="EX573" s="33"/>
      <c r="EY573" s="33"/>
    </row>
    <row r="574" spans="44:155" x14ac:dyDescent="0.3">
      <c r="AR574" s="1"/>
      <c r="AS574" s="1"/>
      <c r="AT574" s="1"/>
      <c r="AU574" s="1"/>
      <c r="AV574" s="1"/>
      <c r="AW574" s="1"/>
      <c r="DS574" s="33"/>
      <c r="DT574" s="33"/>
      <c r="DU574" s="33"/>
      <c r="DV574" s="33"/>
      <c r="DW574" s="33"/>
      <c r="DX574" s="33"/>
      <c r="DY574" s="33"/>
      <c r="DZ574" s="33"/>
      <c r="EA574" s="33"/>
      <c r="EB574" s="33"/>
      <c r="EC574" s="33"/>
      <c r="ED574" s="33"/>
      <c r="EE574" s="33"/>
      <c r="EF574" s="33"/>
      <c r="EG574" s="33"/>
      <c r="EH574" s="33"/>
      <c r="EI574" s="33"/>
      <c r="EJ574" s="33"/>
      <c r="EK574" s="33"/>
      <c r="EL574" s="33"/>
      <c r="EM574" s="33"/>
      <c r="EN574" s="33"/>
      <c r="EO574" s="33"/>
      <c r="EP574" s="33"/>
      <c r="EQ574" s="33"/>
      <c r="ER574" s="33"/>
      <c r="ES574" s="33"/>
      <c r="ET574" s="33"/>
      <c r="EU574" s="33"/>
      <c r="EV574" s="33"/>
      <c r="EW574" s="33"/>
      <c r="EX574" s="33"/>
      <c r="EY574" s="33"/>
    </row>
    <row r="575" spans="44:155" x14ac:dyDescent="0.3">
      <c r="AR575" s="1"/>
      <c r="AS575" s="1"/>
      <c r="AT575" s="1"/>
      <c r="AU575" s="1"/>
      <c r="AV575" s="1"/>
      <c r="AW575" s="1"/>
      <c r="DS575" s="33"/>
      <c r="DT575" s="33"/>
      <c r="DU575" s="33"/>
      <c r="DV575" s="33"/>
      <c r="DW575" s="33"/>
      <c r="DX575" s="33"/>
      <c r="DY575" s="33"/>
      <c r="DZ575" s="33"/>
      <c r="EA575" s="33"/>
      <c r="EB575" s="33"/>
      <c r="EC575" s="33"/>
      <c r="ED575" s="33"/>
      <c r="EE575" s="33"/>
      <c r="EF575" s="33"/>
      <c r="EG575" s="33"/>
      <c r="EH575" s="33"/>
      <c r="EI575" s="33"/>
      <c r="EJ575" s="33"/>
      <c r="EK575" s="33"/>
      <c r="EL575" s="33"/>
      <c r="EM575" s="33"/>
      <c r="EN575" s="33"/>
      <c r="EO575" s="33"/>
      <c r="EP575" s="33"/>
      <c r="EQ575" s="33"/>
      <c r="ER575" s="33"/>
      <c r="ES575" s="33"/>
      <c r="ET575" s="33"/>
      <c r="EU575" s="33"/>
      <c r="EV575" s="33"/>
      <c r="EW575" s="33"/>
      <c r="EX575" s="33"/>
      <c r="EY575" s="33"/>
    </row>
    <row r="576" spans="44:155" x14ac:dyDescent="0.3">
      <c r="AR576" s="1"/>
      <c r="AS576" s="1"/>
      <c r="AT576" s="1"/>
      <c r="AU576" s="1"/>
      <c r="AV576" s="1"/>
      <c r="AW576" s="1"/>
      <c r="DS576" s="33"/>
      <c r="DT576" s="33"/>
      <c r="DU576" s="33"/>
      <c r="DV576" s="33"/>
      <c r="DW576" s="33"/>
      <c r="DX576" s="33"/>
      <c r="DY576" s="33"/>
      <c r="DZ576" s="33"/>
      <c r="EA576" s="33"/>
      <c r="EB576" s="33"/>
      <c r="EC576" s="33"/>
      <c r="ED576" s="33"/>
      <c r="EE576" s="33"/>
      <c r="EF576" s="33"/>
      <c r="EG576" s="33"/>
      <c r="EH576" s="33"/>
      <c r="EI576" s="33"/>
      <c r="EJ576" s="33"/>
      <c r="EK576" s="33"/>
      <c r="EL576" s="33"/>
      <c r="EM576" s="33"/>
      <c r="EN576" s="33"/>
      <c r="EO576" s="33"/>
      <c r="EP576" s="33"/>
      <c r="EQ576" s="33"/>
      <c r="ER576" s="33"/>
      <c r="ES576" s="33"/>
      <c r="ET576" s="33"/>
      <c r="EU576" s="33"/>
      <c r="EV576" s="33"/>
      <c r="EW576" s="33"/>
      <c r="EX576" s="33"/>
      <c r="EY576" s="33"/>
    </row>
    <row r="577" spans="44:155" x14ac:dyDescent="0.3">
      <c r="AR577" s="1"/>
      <c r="AS577" s="1"/>
      <c r="AT577" s="1"/>
      <c r="AU577" s="1"/>
      <c r="AV577" s="1"/>
      <c r="AW577" s="1"/>
      <c r="DS577" s="33"/>
      <c r="DT577" s="33"/>
      <c r="DU577" s="33"/>
      <c r="DV577" s="33"/>
      <c r="DW577" s="33"/>
      <c r="DX577" s="33"/>
      <c r="DY577" s="33"/>
      <c r="DZ577" s="33"/>
      <c r="EA577" s="33"/>
      <c r="EB577" s="33"/>
      <c r="EC577" s="33"/>
      <c r="ED577" s="33"/>
      <c r="EE577" s="33"/>
      <c r="EF577" s="33"/>
      <c r="EG577" s="33"/>
      <c r="EH577" s="33"/>
      <c r="EI577" s="33"/>
      <c r="EJ577" s="33"/>
      <c r="EK577" s="33"/>
      <c r="EL577" s="33"/>
      <c r="EM577" s="33"/>
      <c r="EN577" s="33"/>
      <c r="EO577" s="33"/>
      <c r="EP577" s="33"/>
      <c r="EQ577" s="33"/>
      <c r="ER577" s="33"/>
      <c r="ES577" s="33"/>
      <c r="ET577" s="33"/>
      <c r="EU577" s="33"/>
      <c r="EV577" s="33"/>
      <c r="EW577" s="33"/>
      <c r="EX577" s="33"/>
      <c r="EY577" s="33"/>
    </row>
    <row r="578" spans="44:155" x14ac:dyDescent="0.3">
      <c r="AR578" s="1"/>
      <c r="AS578" s="1"/>
      <c r="AT578" s="1"/>
      <c r="AU578" s="1"/>
      <c r="AV578" s="1"/>
      <c r="AW578" s="1"/>
      <c r="DS578" s="33"/>
      <c r="DT578" s="33"/>
      <c r="DU578" s="33"/>
      <c r="DV578" s="33"/>
      <c r="DW578" s="33"/>
      <c r="DX578" s="33"/>
      <c r="DY578" s="33"/>
      <c r="DZ578" s="33"/>
      <c r="EA578" s="33"/>
      <c r="EB578" s="33"/>
      <c r="EC578" s="33"/>
      <c r="ED578" s="33"/>
      <c r="EE578" s="33"/>
      <c r="EF578" s="33"/>
      <c r="EG578" s="33"/>
      <c r="EH578" s="33"/>
      <c r="EI578" s="33"/>
      <c r="EJ578" s="33"/>
      <c r="EK578" s="33"/>
      <c r="EL578" s="33"/>
      <c r="EM578" s="33"/>
      <c r="EN578" s="33"/>
      <c r="EO578" s="33"/>
      <c r="EP578" s="33"/>
      <c r="EQ578" s="33"/>
      <c r="ER578" s="33"/>
      <c r="ES578" s="33"/>
      <c r="ET578" s="33"/>
      <c r="EU578" s="33"/>
      <c r="EV578" s="33"/>
      <c r="EW578" s="33"/>
      <c r="EX578" s="33"/>
      <c r="EY578" s="33"/>
    </row>
    <row r="579" spans="44:155" x14ac:dyDescent="0.3">
      <c r="AR579" s="1"/>
      <c r="AS579" s="1"/>
      <c r="AT579" s="1"/>
      <c r="AU579" s="1"/>
      <c r="AV579" s="1"/>
      <c r="AW579" s="1"/>
      <c r="DS579" s="33"/>
      <c r="DT579" s="33"/>
      <c r="DU579" s="33"/>
      <c r="DV579" s="33"/>
      <c r="DW579" s="33"/>
      <c r="DX579" s="33"/>
      <c r="DY579" s="33"/>
      <c r="DZ579" s="33"/>
      <c r="EA579" s="33"/>
      <c r="EB579" s="33"/>
      <c r="EC579" s="33"/>
      <c r="ED579" s="33"/>
      <c r="EE579" s="33"/>
      <c r="EF579" s="33"/>
      <c r="EG579" s="33"/>
      <c r="EH579" s="33"/>
      <c r="EI579" s="33"/>
      <c r="EJ579" s="33"/>
      <c r="EK579" s="33"/>
      <c r="EL579" s="33"/>
      <c r="EM579" s="33"/>
      <c r="EN579" s="33"/>
      <c r="EO579" s="33"/>
      <c r="EP579" s="33"/>
      <c r="EQ579" s="33"/>
      <c r="ER579" s="33"/>
      <c r="ES579" s="33"/>
      <c r="ET579" s="33"/>
      <c r="EU579" s="33"/>
      <c r="EV579" s="33"/>
      <c r="EW579" s="33"/>
      <c r="EX579" s="33"/>
      <c r="EY579" s="33"/>
    </row>
    <row r="580" spans="44:155" x14ac:dyDescent="0.3">
      <c r="AR580" s="1"/>
      <c r="AS580" s="1"/>
      <c r="AT580" s="1"/>
      <c r="AU580" s="1"/>
      <c r="AV580" s="1"/>
      <c r="AW580" s="1"/>
      <c r="DS580" s="33"/>
      <c r="DT580" s="33"/>
      <c r="DU580" s="33"/>
      <c r="DV580" s="33"/>
      <c r="DW580" s="33"/>
      <c r="DX580" s="33"/>
      <c r="DY580" s="33"/>
      <c r="DZ580" s="33"/>
      <c r="EA580" s="33"/>
      <c r="EB580" s="33"/>
      <c r="EC580" s="33"/>
      <c r="ED580" s="33"/>
      <c r="EE580" s="33"/>
      <c r="EF580" s="33"/>
      <c r="EG580" s="33"/>
      <c r="EH580" s="33"/>
      <c r="EI580" s="33"/>
      <c r="EJ580" s="33"/>
      <c r="EK580" s="33"/>
      <c r="EL580" s="33"/>
      <c r="EM580" s="33"/>
      <c r="EN580" s="33"/>
      <c r="EO580" s="33"/>
      <c r="EP580" s="33"/>
      <c r="EQ580" s="33"/>
      <c r="ER580" s="33"/>
      <c r="ES580" s="33"/>
      <c r="ET580" s="33"/>
      <c r="EU580" s="33"/>
      <c r="EV580" s="33"/>
      <c r="EW580" s="33"/>
      <c r="EX580" s="33"/>
      <c r="EY580" s="33"/>
    </row>
    <row r="581" spans="44:155" x14ac:dyDescent="0.3">
      <c r="AR581" s="1"/>
      <c r="AS581" s="1"/>
      <c r="AT581" s="1"/>
      <c r="AU581" s="1"/>
      <c r="AV581" s="1"/>
      <c r="AW581" s="1"/>
      <c r="DS581" s="33"/>
      <c r="DT581" s="33"/>
      <c r="DU581" s="33"/>
      <c r="DV581" s="33"/>
      <c r="DW581" s="33"/>
      <c r="DX581" s="33"/>
      <c r="DY581" s="33"/>
      <c r="DZ581" s="33"/>
      <c r="EA581" s="33"/>
      <c r="EB581" s="33"/>
      <c r="EC581" s="33"/>
      <c r="ED581" s="33"/>
      <c r="EE581" s="33"/>
      <c r="EF581" s="33"/>
      <c r="EG581" s="33"/>
      <c r="EH581" s="33"/>
      <c r="EI581" s="33"/>
      <c r="EJ581" s="33"/>
      <c r="EK581" s="33"/>
      <c r="EL581" s="33"/>
      <c r="EM581" s="33"/>
      <c r="EN581" s="33"/>
      <c r="EO581" s="33"/>
      <c r="EP581" s="33"/>
      <c r="EQ581" s="33"/>
      <c r="ER581" s="33"/>
      <c r="ES581" s="33"/>
      <c r="ET581" s="33"/>
      <c r="EU581" s="33"/>
      <c r="EV581" s="33"/>
      <c r="EW581" s="33"/>
      <c r="EX581" s="33"/>
      <c r="EY581" s="33"/>
    </row>
    <row r="582" spans="44:155" x14ac:dyDescent="0.3">
      <c r="AR582" s="1"/>
      <c r="AS582" s="1"/>
      <c r="AT582" s="1"/>
      <c r="AU582" s="1"/>
      <c r="AV582" s="1"/>
      <c r="AW582" s="1"/>
      <c r="DS582" s="33"/>
      <c r="DT582" s="33"/>
      <c r="DU582" s="33"/>
      <c r="DV582" s="33"/>
      <c r="DW582" s="33"/>
      <c r="DX582" s="33"/>
      <c r="DY582" s="33"/>
      <c r="DZ582" s="33"/>
      <c r="EA582" s="33"/>
      <c r="EB582" s="33"/>
      <c r="EC582" s="33"/>
      <c r="ED582" s="33"/>
      <c r="EE582" s="33"/>
      <c r="EF582" s="33"/>
      <c r="EG582" s="33"/>
      <c r="EH582" s="33"/>
      <c r="EI582" s="33"/>
      <c r="EJ582" s="33"/>
      <c r="EK582" s="33"/>
      <c r="EL582" s="33"/>
      <c r="EM582" s="33"/>
      <c r="EN582" s="33"/>
      <c r="EO582" s="33"/>
      <c r="EP582" s="33"/>
      <c r="EQ582" s="33"/>
      <c r="ER582" s="33"/>
      <c r="ES582" s="33"/>
      <c r="ET582" s="33"/>
      <c r="EU582" s="33"/>
      <c r="EV582" s="33"/>
      <c r="EW582" s="33"/>
      <c r="EX582" s="33"/>
      <c r="EY582" s="33"/>
    </row>
    <row r="583" spans="44:155" x14ac:dyDescent="0.3">
      <c r="AR583" s="1"/>
      <c r="AS583" s="1"/>
      <c r="AT583" s="1"/>
      <c r="AU583" s="1"/>
      <c r="AV583" s="1"/>
      <c r="AW583" s="1"/>
      <c r="DS583" s="33"/>
      <c r="DT583" s="33"/>
      <c r="DU583" s="33"/>
      <c r="DV583" s="33"/>
      <c r="DW583" s="33"/>
      <c r="DX583" s="33"/>
      <c r="DY583" s="33"/>
      <c r="DZ583" s="33"/>
      <c r="EA583" s="33"/>
      <c r="EB583" s="33"/>
      <c r="EC583" s="33"/>
      <c r="ED583" s="33"/>
      <c r="EE583" s="33"/>
      <c r="EF583" s="33"/>
      <c r="EG583" s="33"/>
      <c r="EH583" s="33"/>
      <c r="EI583" s="33"/>
      <c r="EJ583" s="33"/>
      <c r="EK583" s="33"/>
      <c r="EL583" s="33"/>
      <c r="EM583" s="33"/>
      <c r="EN583" s="33"/>
      <c r="EO583" s="33"/>
      <c r="EP583" s="33"/>
      <c r="EQ583" s="33"/>
      <c r="ER583" s="33"/>
      <c r="ES583" s="33"/>
      <c r="ET583" s="33"/>
      <c r="EU583" s="33"/>
      <c r="EV583" s="33"/>
      <c r="EW583" s="33"/>
      <c r="EX583" s="33"/>
      <c r="EY583" s="33"/>
    </row>
    <row r="584" spans="44:155" x14ac:dyDescent="0.3">
      <c r="AR584" s="1"/>
      <c r="AS584" s="1"/>
      <c r="AT584" s="1"/>
      <c r="AU584" s="1"/>
      <c r="AV584" s="1"/>
      <c r="AW584" s="1"/>
      <c r="DS584" s="33"/>
      <c r="DT584" s="33"/>
      <c r="DU584" s="33"/>
      <c r="DV584" s="33"/>
      <c r="DW584" s="33"/>
      <c r="DX584" s="33"/>
      <c r="DY584" s="33"/>
      <c r="DZ584" s="33"/>
      <c r="EA584" s="33"/>
      <c r="EB584" s="33"/>
      <c r="EC584" s="33"/>
      <c r="ED584" s="33"/>
      <c r="EE584" s="33"/>
      <c r="EF584" s="33"/>
      <c r="EG584" s="33"/>
      <c r="EH584" s="33"/>
      <c r="EI584" s="33"/>
      <c r="EJ584" s="33"/>
      <c r="EK584" s="33"/>
      <c r="EL584" s="33"/>
      <c r="EM584" s="33"/>
      <c r="EN584" s="33"/>
      <c r="EO584" s="33"/>
      <c r="EP584" s="33"/>
      <c r="EQ584" s="33"/>
      <c r="ER584" s="33"/>
      <c r="ES584" s="33"/>
      <c r="ET584" s="33"/>
      <c r="EU584" s="33"/>
      <c r="EV584" s="33"/>
      <c r="EW584" s="33"/>
      <c r="EX584" s="33"/>
      <c r="EY584" s="33"/>
    </row>
    <row r="585" spans="44:155" x14ac:dyDescent="0.3">
      <c r="AR585" s="1"/>
      <c r="AS585" s="1"/>
      <c r="AT585" s="1"/>
      <c r="AU585" s="1"/>
      <c r="AV585" s="1"/>
      <c r="AW585" s="1"/>
      <c r="DS585" s="33"/>
      <c r="DT585" s="33"/>
      <c r="DU585" s="33"/>
      <c r="DV585" s="33"/>
      <c r="DW585" s="33"/>
      <c r="DX585" s="33"/>
      <c r="DY585" s="33"/>
      <c r="DZ585" s="33"/>
      <c r="EA585" s="33"/>
      <c r="EB585" s="33"/>
      <c r="EC585" s="33"/>
      <c r="ED585" s="33"/>
      <c r="EE585" s="33"/>
      <c r="EF585" s="33"/>
      <c r="EG585" s="33"/>
      <c r="EH585" s="33"/>
      <c r="EI585" s="33"/>
      <c r="EJ585" s="33"/>
      <c r="EK585" s="33"/>
      <c r="EL585" s="33"/>
      <c r="EM585" s="33"/>
      <c r="EN585" s="33"/>
      <c r="EO585" s="33"/>
      <c r="EP585" s="33"/>
      <c r="EQ585" s="33"/>
      <c r="ER585" s="33"/>
      <c r="ES585" s="33"/>
      <c r="ET585" s="33"/>
      <c r="EU585" s="33"/>
      <c r="EV585" s="33"/>
      <c r="EW585" s="33"/>
      <c r="EX585" s="33"/>
      <c r="EY585" s="33"/>
    </row>
    <row r="586" spans="44:155" x14ac:dyDescent="0.3">
      <c r="AR586" s="1"/>
      <c r="AS586" s="1"/>
      <c r="AT586" s="1"/>
      <c r="AU586" s="1"/>
      <c r="AV586" s="1"/>
      <c r="AW586" s="1"/>
      <c r="DS586" s="33"/>
      <c r="DT586" s="33"/>
      <c r="DU586" s="33"/>
      <c r="DV586" s="33"/>
      <c r="DW586" s="33"/>
      <c r="DX586" s="33"/>
      <c r="DY586" s="33"/>
      <c r="DZ586" s="33"/>
      <c r="EA586" s="33"/>
      <c r="EB586" s="33"/>
      <c r="EC586" s="33"/>
      <c r="ED586" s="33"/>
      <c r="EE586" s="33"/>
      <c r="EF586" s="33"/>
      <c r="EG586" s="33"/>
      <c r="EH586" s="33"/>
      <c r="EI586" s="33"/>
      <c r="EJ586" s="33"/>
      <c r="EK586" s="33"/>
      <c r="EL586" s="33"/>
      <c r="EM586" s="33"/>
      <c r="EN586" s="33"/>
      <c r="EO586" s="33"/>
      <c r="EP586" s="33"/>
      <c r="EQ586" s="33"/>
      <c r="ER586" s="33"/>
      <c r="ES586" s="33"/>
      <c r="ET586" s="33"/>
      <c r="EU586" s="33"/>
      <c r="EV586" s="33"/>
      <c r="EW586" s="33"/>
      <c r="EX586" s="33"/>
      <c r="EY586" s="33"/>
    </row>
    <row r="587" spans="44:155" x14ac:dyDescent="0.3">
      <c r="AR587" s="1"/>
      <c r="AS587" s="1"/>
      <c r="AT587" s="1"/>
      <c r="AU587" s="1"/>
      <c r="AV587" s="1"/>
      <c r="AW587" s="1"/>
      <c r="DS587" s="33"/>
      <c r="DT587" s="33"/>
      <c r="DU587" s="33"/>
      <c r="DV587" s="33"/>
      <c r="DW587" s="33"/>
      <c r="DX587" s="33"/>
      <c r="DY587" s="33"/>
      <c r="DZ587" s="33"/>
      <c r="EA587" s="33"/>
      <c r="EB587" s="33"/>
      <c r="EC587" s="33"/>
      <c r="ED587" s="33"/>
      <c r="EE587" s="33"/>
      <c r="EF587" s="33"/>
      <c r="EG587" s="33"/>
      <c r="EH587" s="33"/>
      <c r="EI587" s="33"/>
      <c r="EJ587" s="33"/>
      <c r="EK587" s="33"/>
      <c r="EL587" s="33"/>
      <c r="EM587" s="33"/>
      <c r="EN587" s="33"/>
      <c r="EO587" s="33"/>
      <c r="EP587" s="33"/>
      <c r="EQ587" s="33"/>
      <c r="ER587" s="33"/>
      <c r="ES587" s="33"/>
      <c r="ET587" s="33"/>
      <c r="EU587" s="33"/>
      <c r="EV587" s="33"/>
      <c r="EW587" s="33"/>
      <c r="EX587" s="33"/>
      <c r="EY587" s="33"/>
    </row>
    <row r="588" spans="44:155" x14ac:dyDescent="0.3">
      <c r="AR588" s="1"/>
      <c r="AS588" s="1"/>
      <c r="AT588" s="1"/>
      <c r="AU588" s="1"/>
      <c r="AV588" s="1"/>
      <c r="AW588" s="1"/>
      <c r="DS588" s="33"/>
      <c r="DT588" s="33"/>
      <c r="DU588" s="33"/>
      <c r="DV588" s="33"/>
      <c r="DW588" s="33"/>
      <c r="DX588" s="33"/>
      <c r="DY588" s="33"/>
      <c r="DZ588" s="33"/>
      <c r="EA588" s="33"/>
      <c r="EB588" s="33"/>
      <c r="EC588" s="33"/>
      <c r="ED588" s="33"/>
      <c r="EE588" s="33"/>
      <c r="EF588" s="33"/>
      <c r="EG588" s="33"/>
      <c r="EH588" s="33"/>
      <c r="EI588" s="33"/>
      <c r="EJ588" s="33"/>
      <c r="EK588" s="33"/>
      <c r="EL588" s="33"/>
      <c r="EM588" s="33"/>
      <c r="EN588" s="33"/>
      <c r="EO588" s="33"/>
      <c r="EP588" s="33"/>
      <c r="EQ588" s="33"/>
      <c r="ER588" s="33"/>
      <c r="ES588" s="33"/>
      <c r="ET588" s="33"/>
      <c r="EU588" s="33"/>
      <c r="EV588" s="33"/>
      <c r="EW588" s="33"/>
      <c r="EX588" s="33"/>
      <c r="EY588" s="33"/>
    </row>
    <row r="589" spans="44:155" x14ac:dyDescent="0.3">
      <c r="AR589" s="1"/>
      <c r="AS589" s="1"/>
      <c r="AT589" s="1"/>
      <c r="AU589" s="1"/>
      <c r="AV589" s="1"/>
      <c r="AW589" s="1"/>
      <c r="DS589" s="33"/>
      <c r="DT589" s="33"/>
      <c r="DU589" s="33"/>
      <c r="DV589" s="33"/>
      <c r="DW589" s="33"/>
      <c r="DX589" s="33"/>
      <c r="DY589" s="33"/>
      <c r="DZ589" s="33"/>
      <c r="EA589" s="33"/>
      <c r="EB589" s="33"/>
      <c r="EC589" s="33"/>
      <c r="ED589" s="33"/>
      <c r="EE589" s="33"/>
      <c r="EF589" s="33"/>
      <c r="EG589" s="33"/>
      <c r="EH589" s="33"/>
      <c r="EI589" s="33"/>
      <c r="EJ589" s="33"/>
      <c r="EK589" s="33"/>
      <c r="EL589" s="33"/>
      <c r="EM589" s="33"/>
      <c r="EN589" s="33"/>
      <c r="EO589" s="33"/>
      <c r="EP589" s="33"/>
      <c r="EQ589" s="33"/>
      <c r="ER589" s="33"/>
      <c r="ES589" s="33"/>
      <c r="ET589" s="33"/>
      <c r="EU589" s="33"/>
      <c r="EV589" s="33"/>
      <c r="EW589" s="33"/>
      <c r="EX589" s="33"/>
      <c r="EY589" s="33"/>
    </row>
    <row r="590" spans="44:155" x14ac:dyDescent="0.3">
      <c r="AR590" s="1"/>
      <c r="AS590" s="1"/>
      <c r="AT590" s="1"/>
      <c r="AU590" s="1"/>
      <c r="AV590" s="1"/>
      <c r="AW590" s="1"/>
      <c r="DS590" s="33"/>
      <c r="DT590" s="33"/>
      <c r="DU590" s="33"/>
      <c r="DV590" s="33"/>
      <c r="DW590" s="33"/>
      <c r="DX590" s="33"/>
      <c r="DY590" s="33"/>
      <c r="DZ590" s="33"/>
      <c r="EA590" s="33"/>
      <c r="EB590" s="33"/>
      <c r="EC590" s="33"/>
      <c r="ED590" s="33"/>
      <c r="EE590" s="33"/>
      <c r="EF590" s="33"/>
      <c r="EG590" s="33"/>
      <c r="EH590" s="33"/>
      <c r="EI590" s="33"/>
      <c r="EJ590" s="33"/>
      <c r="EK590" s="33"/>
      <c r="EL590" s="33"/>
      <c r="EM590" s="33"/>
      <c r="EN590" s="33"/>
      <c r="EO590" s="33"/>
      <c r="EP590" s="33"/>
      <c r="EQ590" s="33"/>
      <c r="ER590" s="33"/>
      <c r="ES590" s="33"/>
      <c r="ET590" s="33"/>
      <c r="EU590" s="33"/>
      <c r="EV590" s="33"/>
      <c r="EW590" s="33"/>
      <c r="EX590" s="33"/>
      <c r="EY590" s="33"/>
    </row>
    <row r="591" spans="44:155" x14ac:dyDescent="0.3">
      <c r="AR591" s="1"/>
      <c r="AS591" s="1"/>
      <c r="AT591" s="1"/>
      <c r="AU591" s="1"/>
      <c r="AV591" s="1"/>
      <c r="AW591" s="1"/>
      <c r="DS591" s="33"/>
      <c r="DT591" s="33"/>
      <c r="DU591" s="33"/>
      <c r="DV591" s="33"/>
      <c r="DW591" s="33"/>
      <c r="DX591" s="33"/>
      <c r="DY591" s="33"/>
      <c r="DZ591" s="33"/>
      <c r="EA591" s="33"/>
      <c r="EB591" s="33"/>
      <c r="EC591" s="33"/>
      <c r="ED591" s="33"/>
      <c r="EE591" s="33"/>
      <c r="EF591" s="33"/>
      <c r="EG591" s="33"/>
      <c r="EH591" s="33"/>
      <c r="EI591" s="33"/>
      <c r="EJ591" s="33"/>
      <c r="EK591" s="33"/>
      <c r="EL591" s="33"/>
      <c r="EM591" s="33"/>
      <c r="EN591" s="33"/>
      <c r="EO591" s="33"/>
      <c r="EP591" s="33"/>
      <c r="EQ591" s="33"/>
      <c r="ER591" s="33"/>
      <c r="ES591" s="33"/>
      <c r="ET591" s="33"/>
      <c r="EU591" s="33"/>
      <c r="EV591" s="33"/>
      <c r="EW591" s="33"/>
      <c r="EX591" s="33"/>
      <c r="EY591" s="33"/>
    </row>
    <row r="592" spans="44:155" x14ac:dyDescent="0.3">
      <c r="AR592" s="1"/>
      <c r="AS592" s="1"/>
      <c r="AT592" s="1"/>
      <c r="AU592" s="1"/>
      <c r="AV592" s="1"/>
      <c r="AW592" s="1"/>
      <c r="DS592" s="33"/>
      <c r="DT592" s="33"/>
      <c r="DU592" s="33"/>
      <c r="DV592" s="33"/>
      <c r="DW592" s="33"/>
      <c r="DX592" s="33"/>
      <c r="DY592" s="33"/>
      <c r="DZ592" s="33"/>
      <c r="EA592" s="33"/>
      <c r="EB592" s="33"/>
      <c r="EC592" s="33"/>
      <c r="ED592" s="33"/>
      <c r="EE592" s="33"/>
      <c r="EF592" s="33"/>
      <c r="EG592" s="33"/>
      <c r="EH592" s="33"/>
      <c r="EI592" s="33"/>
      <c r="EJ592" s="33"/>
      <c r="EK592" s="33"/>
      <c r="EL592" s="33"/>
      <c r="EM592" s="33"/>
      <c r="EN592" s="33"/>
      <c r="EO592" s="33"/>
      <c r="EP592" s="33"/>
      <c r="EQ592" s="33"/>
      <c r="ER592" s="33"/>
      <c r="ES592" s="33"/>
      <c r="ET592" s="33"/>
      <c r="EU592" s="33"/>
      <c r="EV592" s="33"/>
      <c r="EW592" s="33"/>
      <c r="EX592" s="33"/>
      <c r="EY592" s="33"/>
    </row>
    <row r="593" spans="44:155" x14ac:dyDescent="0.3">
      <c r="AR593" s="1"/>
      <c r="AS593" s="1"/>
      <c r="AT593" s="1"/>
      <c r="AU593" s="1"/>
      <c r="AV593" s="1"/>
      <c r="AW593" s="1"/>
      <c r="DS593" s="33"/>
      <c r="DT593" s="33"/>
      <c r="DU593" s="33"/>
      <c r="DV593" s="33"/>
      <c r="DW593" s="33"/>
      <c r="DX593" s="33"/>
      <c r="DY593" s="33"/>
      <c r="DZ593" s="33"/>
      <c r="EA593" s="33"/>
      <c r="EB593" s="33"/>
      <c r="EC593" s="33"/>
      <c r="ED593" s="33"/>
      <c r="EE593" s="33"/>
      <c r="EF593" s="33"/>
      <c r="EG593" s="33"/>
      <c r="EH593" s="33"/>
      <c r="EI593" s="33"/>
      <c r="EJ593" s="33"/>
      <c r="EK593" s="33"/>
      <c r="EL593" s="33"/>
      <c r="EM593" s="33"/>
      <c r="EN593" s="33"/>
      <c r="EO593" s="33"/>
      <c r="EP593" s="33"/>
      <c r="EQ593" s="33"/>
      <c r="ER593" s="33"/>
      <c r="ES593" s="33"/>
      <c r="ET593" s="33"/>
      <c r="EU593" s="33"/>
      <c r="EV593" s="33"/>
      <c r="EW593" s="33"/>
      <c r="EX593" s="33"/>
      <c r="EY593" s="33"/>
    </row>
    <row r="594" spans="44:155" x14ac:dyDescent="0.3">
      <c r="AR594" s="1"/>
      <c r="AS594" s="1"/>
      <c r="AT594" s="1"/>
      <c r="AU594" s="1"/>
      <c r="AV594" s="1"/>
      <c r="AW594" s="1"/>
      <c r="DS594" s="33"/>
      <c r="DT594" s="33"/>
      <c r="DU594" s="33"/>
      <c r="DV594" s="33"/>
      <c r="DW594" s="33"/>
      <c r="DX594" s="33"/>
      <c r="DY594" s="33"/>
      <c r="DZ594" s="33"/>
      <c r="EA594" s="33"/>
      <c r="EB594" s="33"/>
      <c r="EC594" s="33"/>
      <c r="ED594" s="33"/>
      <c r="EE594" s="33"/>
      <c r="EF594" s="33"/>
      <c r="EG594" s="33"/>
      <c r="EH594" s="33"/>
      <c r="EI594" s="33"/>
      <c r="EJ594" s="33"/>
      <c r="EK594" s="33"/>
      <c r="EL594" s="33"/>
      <c r="EM594" s="33"/>
      <c r="EN594" s="33"/>
      <c r="EO594" s="33"/>
      <c r="EP594" s="33"/>
      <c r="EQ594" s="33"/>
      <c r="ER594" s="33"/>
      <c r="ES594" s="33"/>
      <c r="ET594" s="33"/>
      <c r="EU594" s="33"/>
      <c r="EV594" s="33"/>
      <c r="EW594" s="33"/>
      <c r="EX594" s="33"/>
      <c r="EY594" s="33"/>
    </row>
    <row r="595" spans="44:155" x14ac:dyDescent="0.3">
      <c r="AR595" s="1"/>
      <c r="AS595" s="1"/>
      <c r="AT595" s="1"/>
      <c r="AU595" s="1"/>
      <c r="AV595" s="1"/>
      <c r="AW595" s="1"/>
      <c r="DS595" s="33"/>
      <c r="DT595" s="33"/>
      <c r="DU595" s="33"/>
      <c r="DV595" s="33"/>
      <c r="DW595" s="33"/>
      <c r="DX595" s="33"/>
      <c r="DY595" s="33"/>
      <c r="DZ595" s="33"/>
      <c r="EA595" s="33"/>
      <c r="EB595" s="33"/>
      <c r="EC595" s="33"/>
      <c r="ED595" s="33"/>
      <c r="EE595" s="33"/>
      <c r="EF595" s="33"/>
      <c r="EG595" s="33"/>
      <c r="EH595" s="33"/>
      <c r="EI595" s="33"/>
      <c r="EJ595" s="33"/>
      <c r="EK595" s="33"/>
      <c r="EL595" s="33"/>
      <c r="EM595" s="33"/>
      <c r="EN595" s="33"/>
      <c r="EO595" s="33"/>
      <c r="EP595" s="33"/>
      <c r="EQ595" s="33"/>
      <c r="ER595" s="33"/>
      <c r="ES595" s="33"/>
      <c r="ET595" s="33"/>
      <c r="EU595" s="33"/>
      <c r="EV595" s="33"/>
      <c r="EW595" s="33"/>
      <c r="EX595" s="33"/>
      <c r="EY595" s="33"/>
    </row>
    <row r="596" spans="44:155" x14ac:dyDescent="0.3">
      <c r="AR596" s="1"/>
      <c r="AS596" s="1"/>
      <c r="AT596" s="1"/>
      <c r="AU596" s="1"/>
      <c r="AV596" s="1"/>
      <c r="AW596" s="1"/>
      <c r="DS596" s="33"/>
      <c r="DT596" s="33"/>
      <c r="DU596" s="33"/>
      <c r="DV596" s="33"/>
      <c r="DW596" s="33"/>
      <c r="DX596" s="33"/>
      <c r="DY596" s="33"/>
      <c r="DZ596" s="33"/>
      <c r="EA596" s="33"/>
      <c r="EB596" s="33"/>
      <c r="EC596" s="33"/>
      <c r="ED596" s="33"/>
      <c r="EE596" s="33"/>
      <c r="EF596" s="33"/>
      <c r="EG596" s="33"/>
      <c r="EH596" s="33"/>
      <c r="EI596" s="33"/>
      <c r="EJ596" s="33"/>
      <c r="EK596" s="33"/>
      <c r="EL596" s="33"/>
      <c r="EM596" s="33"/>
      <c r="EN596" s="33"/>
      <c r="EO596" s="33"/>
      <c r="EP596" s="33"/>
      <c r="EQ596" s="33"/>
      <c r="ER596" s="33"/>
      <c r="ES596" s="33"/>
      <c r="ET596" s="33"/>
      <c r="EU596" s="33"/>
      <c r="EV596" s="33"/>
      <c r="EW596" s="33"/>
      <c r="EX596" s="33"/>
      <c r="EY596" s="33"/>
    </row>
    <row r="597" spans="44:155" x14ac:dyDescent="0.3">
      <c r="AR597" s="1"/>
      <c r="AS597" s="1"/>
      <c r="AT597" s="1"/>
      <c r="AU597" s="1"/>
      <c r="AV597" s="1"/>
      <c r="AW597" s="1"/>
      <c r="DS597" s="33"/>
      <c r="DT597" s="33"/>
      <c r="DU597" s="33"/>
      <c r="DV597" s="33"/>
      <c r="DW597" s="33"/>
      <c r="DX597" s="33"/>
      <c r="DY597" s="33"/>
      <c r="DZ597" s="33"/>
      <c r="EA597" s="33"/>
      <c r="EB597" s="33"/>
      <c r="EC597" s="33"/>
      <c r="ED597" s="33"/>
      <c r="EE597" s="33"/>
      <c r="EF597" s="33"/>
      <c r="EG597" s="33"/>
      <c r="EH597" s="33"/>
      <c r="EI597" s="33"/>
      <c r="EJ597" s="33"/>
      <c r="EK597" s="33"/>
      <c r="EL597" s="33"/>
      <c r="EM597" s="33"/>
      <c r="EN597" s="33"/>
      <c r="EO597" s="33"/>
      <c r="EP597" s="33"/>
      <c r="EQ597" s="33"/>
      <c r="ER597" s="33"/>
      <c r="ES597" s="33"/>
      <c r="ET597" s="33"/>
      <c r="EU597" s="33"/>
      <c r="EV597" s="33"/>
      <c r="EW597" s="33"/>
      <c r="EX597" s="33"/>
      <c r="EY597" s="33"/>
    </row>
    <row r="598" spans="44:155" x14ac:dyDescent="0.3">
      <c r="AR598" s="1"/>
      <c r="AS598" s="1"/>
      <c r="AT598" s="1"/>
      <c r="AU598" s="1"/>
      <c r="AV598" s="1"/>
      <c r="AW598" s="1"/>
      <c r="DS598" s="33"/>
      <c r="DT598" s="33"/>
      <c r="DU598" s="33"/>
      <c r="DV598" s="33"/>
      <c r="DW598" s="33"/>
      <c r="DX598" s="33"/>
      <c r="DY598" s="33"/>
      <c r="DZ598" s="33"/>
      <c r="EA598" s="33"/>
      <c r="EB598" s="33"/>
      <c r="EC598" s="33"/>
      <c r="ED598" s="33"/>
      <c r="EE598" s="33"/>
      <c r="EF598" s="33"/>
      <c r="EG598" s="33"/>
      <c r="EH598" s="33"/>
      <c r="EI598" s="33"/>
      <c r="EJ598" s="33"/>
      <c r="EK598" s="33"/>
      <c r="EL598" s="33"/>
      <c r="EM598" s="33"/>
      <c r="EN598" s="33"/>
      <c r="EO598" s="33"/>
      <c r="EP598" s="33"/>
      <c r="EQ598" s="33"/>
      <c r="ER598" s="33"/>
      <c r="ES598" s="33"/>
      <c r="ET598" s="33"/>
      <c r="EU598" s="33"/>
      <c r="EV598" s="33"/>
      <c r="EW598" s="33"/>
      <c r="EX598" s="33"/>
      <c r="EY598" s="33"/>
    </row>
    <row r="599" spans="44:155" x14ac:dyDescent="0.3">
      <c r="AR599" s="1"/>
      <c r="AS599" s="1"/>
      <c r="AT599" s="1"/>
      <c r="AU599" s="1"/>
      <c r="AV599" s="1"/>
      <c r="AW599" s="1"/>
      <c r="DS599" s="33"/>
      <c r="DT599" s="33"/>
      <c r="DU599" s="33"/>
      <c r="DV599" s="33"/>
      <c r="DW599" s="33"/>
      <c r="DX599" s="33"/>
      <c r="DY599" s="33"/>
      <c r="DZ599" s="33"/>
      <c r="EA599" s="33"/>
      <c r="EB599" s="33"/>
      <c r="EC599" s="33"/>
      <c r="ED599" s="33"/>
      <c r="EE599" s="33"/>
      <c r="EF599" s="33"/>
      <c r="EG599" s="33"/>
      <c r="EH599" s="33"/>
      <c r="EI599" s="33"/>
      <c r="EJ599" s="33"/>
      <c r="EK599" s="33"/>
      <c r="EL599" s="33"/>
      <c r="EM599" s="33"/>
      <c r="EN599" s="33"/>
      <c r="EO599" s="33"/>
      <c r="EP599" s="33"/>
      <c r="EQ599" s="33"/>
      <c r="ER599" s="33"/>
      <c r="ES599" s="33"/>
      <c r="ET599" s="33"/>
      <c r="EU599" s="33"/>
      <c r="EV599" s="33"/>
      <c r="EW599" s="33"/>
      <c r="EX599" s="33"/>
      <c r="EY599" s="33"/>
    </row>
    <row r="600" spans="44:155" x14ac:dyDescent="0.3">
      <c r="AR600" s="1"/>
      <c r="AS600" s="1"/>
      <c r="AT600" s="1"/>
      <c r="AU600" s="1"/>
      <c r="AV600" s="1"/>
      <c r="AW600" s="1"/>
      <c r="DS600" s="33"/>
      <c r="DT600" s="33"/>
      <c r="DU600" s="33"/>
      <c r="DV600" s="33"/>
      <c r="DW600" s="33"/>
      <c r="DX600" s="33"/>
      <c r="DY600" s="33"/>
      <c r="DZ600" s="33"/>
      <c r="EA600" s="33"/>
      <c r="EB600" s="33"/>
      <c r="EC600" s="33"/>
      <c r="ED600" s="33"/>
      <c r="EE600" s="33"/>
      <c r="EF600" s="33"/>
      <c r="EG600" s="33"/>
      <c r="EH600" s="33"/>
      <c r="EI600" s="33"/>
      <c r="EJ600" s="33"/>
      <c r="EK600" s="33"/>
      <c r="EL600" s="33"/>
      <c r="EM600" s="33"/>
      <c r="EN600" s="33"/>
      <c r="EO600" s="33"/>
      <c r="EP600" s="33"/>
      <c r="EQ600" s="33"/>
      <c r="ER600" s="33"/>
      <c r="ES600" s="33"/>
      <c r="ET600" s="33"/>
      <c r="EU600" s="33"/>
      <c r="EV600" s="33"/>
      <c r="EW600" s="33"/>
      <c r="EX600" s="33"/>
      <c r="EY600" s="33"/>
    </row>
    <row r="601" spans="44:155" x14ac:dyDescent="0.3">
      <c r="AR601" s="1"/>
      <c r="AS601" s="1"/>
      <c r="AT601" s="1"/>
      <c r="AU601" s="1"/>
      <c r="AV601" s="1"/>
      <c r="AW601" s="1"/>
      <c r="DS601" s="33"/>
      <c r="DT601" s="33"/>
      <c r="DU601" s="33"/>
      <c r="DV601" s="33"/>
      <c r="DW601" s="33"/>
      <c r="DX601" s="33"/>
      <c r="DY601" s="33"/>
      <c r="DZ601" s="33"/>
      <c r="EA601" s="33"/>
      <c r="EB601" s="33"/>
      <c r="EC601" s="33"/>
      <c r="ED601" s="33"/>
      <c r="EE601" s="33"/>
      <c r="EF601" s="33"/>
      <c r="EG601" s="33"/>
      <c r="EH601" s="33"/>
      <c r="EI601" s="33"/>
      <c r="EJ601" s="33"/>
      <c r="EK601" s="33"/>
      <c r="EL601" s="33"/>
      <c r="EM601" s="33"/>
      <c r="EN601" s="33"/>
      <c r="EO601" s="33"/>
      <c r="EP601" s="33"/>
      <c r="EQ601" s="33"/>
      <c r="ER601" s="33"/>
      <c r="ES601" s="33"/>
      <c r="ET601" s="33"/>
      <c r="EU601" s="33"/>
      <c r="EV601" s="33"/>
      <c r="EW601" s="33"/>
      <c r="EX601" s="33"/>
      <c r="EY601" s="33"/>
    </row>
    <row r="602" spans="44:155" x14ac:dyDescent="0.3">
      <c r="AR602" s="1"/>
      <c r="AS602" s="1"/>
      <c r="AT602" s="1"/>
      <c r="AU602" s="1"/>
      <c r="AV602" s="1"/>
      <c r="AW602" s="1"/>
      <c r="DS602" s="33"/>
      <c r="DT602" s="33"/>
      <c r="DU602" s="33"/>
      <c r="DV602" s="33"/>
      <c r="DW602" s="33"/>
      <c r="DX602" s="33"/>
      <c r="DY602" s="33"/>
      <c r="DZ602" s="33"/>
      <c r="EA602" s="33"/>
      <c r="EB602" s="33"/>
      <c r="EC602" s="33"/>
      <c r="ED602" s="33"/>
      <c r="EE602" s="33"/>
      <c r="EF602" s="33"/>
      <c r="EG602" s="33"/>
      <c r="EH602" s="33"/>
      <c r="EI602" s="33"/>
      <c r="EJ602" s="33"/>
      <c r="EK602" s="33"/>
      <c r="EL602" s="33"/>
      <c r="EM602" s="33"/>
      <c r="EN602" s="33"/>
      <c r="EO602" s="33"/>
      <c r="EP602" s="33"/>
      <c r="EQ602" s="33"/>
      <c r="ER602" s="33"/>
      <c r="ES602" s="33"/>
      <c r="ET602" s="33"/>
      <c r="EU602" s="33"/>
      <c r="EV602" s="33"/>
      <c r="EW602" s="33"/>
      <c r="EX602" s="33"/>
      <c r="EY602" s="33"/>
    </row>
    <row r="603" spans="44:155" x14ac:dyDescent="0.3">
      <c r="AR603" s="1"/>
      <c r="AS603" s="1"/>
      <c r="AT603" s="1"/>
      <c r="AU603" s="1"/>
      <c r="AV603" s="1"/>
      <c r="AW603" s="1"/>
      <c r="DS603" s="33"/>
      <c r="DT603" s="33"/>
      <c r="DU603" s="33"/>
      <c r="DV603" s="33"/>
      <c r="DW603" s="33"/>
      <c r="DX603" s="33"/>
      <c r="DY603" s="33"/>
      <c r="DZ603" s="33"/>
      <c r="EA603" s="33"/>
      <c r="EB603" s="33"/>
      <c r="EC603" s="33"/>
      <c r="ED603" s="33"/>
      <c r="EE603" s="33"/>
      <c r="EF603" s="33"/>
      <c r="EG603" s="33"/>
      <c r="EH603" s="33"/>
      <c r="EI603" s="33"/>
      <c r="EJ603" s="33"/>
      <c r="EK603" s="33"/>
      <c r="EL603" s="33"/>
      <c r="EM603" s="33"/>
      <c r="EN603" s="33"/>
      <c r="EO603" s="33"/>
      <c r="EP603" s="33"/>
      <c r="EQ603" s="33"/>
      <c r="ER603" s="33"/>
      <c r="ES603" s="33"/>
      <c r="ET603" s="33"/>
      <c r="EU603" s="33"/>
      <c r="EV603" s="33"/>
      <c r="EW603" s="33"/>
      <c r="EX603" s="33"/>
      <c r="EY603" s="33"/>
    </row>
    <row r="604" spans="44:155" x14ac:dyDescent="0.3">
      <c r="AR604" s="1"/>
      <c r="AS604" s="1"/>
      <c r="AT604" s="1"/>
      <c r="AU604" s="1"/>
      <c r="AV604" s="1"/>
      <c r="AW604" s="1"/>
      <c r="DS604" s="33"/>
      <c r="DT604" s="33"/>
      <c r="DU604" s="33"/>
      <c r="DV604" s="33"/>
      <c r="DW604" s="33"/>
      <c r="DX604" s="33"/>
      <c r="DY604" s="33"/>
      <c r="DZ604" s="33"/>
      <c r="EA604" s="33"/>
      <c r="EB604" s="33"/>
      <c r="EC604" s="33"/>
      <c r="ED604" s="33"/>
      <c r="EE604" s="33"/>
      <c r="EF604" s="33"/>
      <c r="EG604" s="33"/>
      <c r="EH604" s="33"/>
      <c r="EI604" s="33"/>
      <c r="EJ604" s="33"/>
      <c r="EK604" s="33"/>
      <c r="EL604" s="33"/>
      <c r="EM604" s="33"/>
      <c r="EN604" s="33"/>
      <c r="EO604" s="33"/>
      <c r="EP604" s="33"/>
      <c r="EQ604" s="33"/>
      <c r="ER604" s="33"/>
      <c r="ES604" s="33"/>
      <c r="ET604" s="33"/>
      <c r="EU604" s="33"/>
      <c r="EV604" s="33"/>
      <c r="EW604" s="33"/>
      <c r="EX604" s="33"/>
      <c r="EY604" s="33"/>
    </row>
    <row r="605" spans="44:155" x14ac:dyDescent="0.3">
      <c r="AR605" s="1"/>
      <c r="AS605" s="1"/>
      <c r="AT605" s="1"/>
      <c r="AU605" s="1"/>
      <c r="AV605" s="1"/>
      <c r="AW605" s="1"/>
      <c r="DS605" s="33"/>
      <c r="DT605" s="33"/>
      <c r="DU605" s="33"/>
      <c r="DV605" s="33"/>
      <c r="DW605" s="33"/>
      <c r="DX605" s="33"/>
      <c r="DY605" s="33"/>
      <c r="DZ605" s="33"/>
      <c r="EA605" s="33"/>
      <c r="EB605" s="33"/>
      <c r="EC605" s="33"/>
      <c r="ED605" s="33"/>
      <c r="EE605" s="33"/>
      <c r="EF605" s="33"/>
      <c r="EG605" s="33"/>
      <c r="EH605" s="33"/>
      <c r="EI605" s="33"/>
      <c r="EJ605" s="33"/>
      <c r="EK605" s="33"/>
      <c r="EL605" s="33"/>
      <c r="EM605" s="33"/>
      <c r="EN605" s="33"/>
      <c r="EO605" s="33"/>
      <c r="EP605" s="33"/>
      <c r="EQ605" s="33"/>
      <c r="ER605" s="33"/>
      <c r="ES605" s="33"/>
      <c r="ET605" s="33"/>
      <c r="EU605" s="33"/>
      <c r="EV605" s="33"/>
      <c r="EW605" s="33"/>
      <c r="EX605" s="33"/>
      <c r="EY605" s="33"/>
    </row>
    <row r="606" spans="44:155" x14ac:dyDescent="0.3">
      <c r="AR606" s="1"/>
      <c r="AS606" s="1"/>
      <c r="AT606" s="1"/>
      <c r="AU606" s="1"/>
      <c r="AV606" s="1"/>
      <c r="AW606" s="1"/>
      <c r="DS606" s="33"/>
      <c r="DT606" s="33"/>
      <c r="DU606" s="33"/>
      <c r="DV606" s="33"/>
      <c r="DW606" s="33"/>
      <c r="DX606" s="33"/>
      <c r="DY606" s="33"/>
      <c r="DZ606" s="33"/>
      <c r="EA606" s="33"/>
      <c r="EB606" s="33"/>
      <c r="EC606" s="33"/>
      <c r="ED606" s="33"/>
      <c r="EE606" s="33"/>
      <c r="EF606" s="33"/>
      <c r="EG606" s="33"/>
      <c r="EH606" s="33"/>
      <c r="EI606" s="33"/>
      <c r="EJ606" s="33"/>
      <c r="EK606" s="33"/>
      <c r="EL606" s="33"/>
      <c r="EM606" s="33"/>
      <c r="EN606" s="33"/>
      <c r="EO606" s="33"/>
      <c r="EP606" s="33"/>
      <c r="EQ606" s="33"/>
      <c r="ER606" s="33"/>
      <c r="ES606" s="33"/>
      <c r="ET606" s="33"/>
      <c r="EU606" s="33"/>
      <c r="EV606" s="33"/>
      <c r="EW606" s="33"/>
      <c r="EX606" s="33"/>
      <c r="EY606" s="33"/>
    </row>
    <row r="607" spans="44:155" x14ac:dyDescent="0.3">
      <c r="AR607" s="1"/>
      <c r="AS607" s="1"/>
      <c r="AT607" s="1"/>
      <c r="AU607" s="1"/>
      <c r="AV607" s="1"/>
      <c r="AW607" s="1"/>
      <c r="DS607" s="33"/>
      <c r="DT607" s="33"/>
      <c r="DU607" s="33"/>
      <c r="DV607" s="33"/>
      <c r="DW607" s="33"/>
      <c r="DX607" s="33"/>
      <c r="DY607" s="33"/>
      <c r="DZ607" s="33"/>
      <c r="EA607" s="33"/>
      <c r="EB607" s="33"/>
      <c r="EC607" s="33"/>
      <c r="ED607" s="33"/>
      <c r="EE607" s="33"/>
      <c r="EF607" s="33"/>
      <c r="EG607" s="33"/>
      <c r="EH607" s="33"/>
      <c r="EI607" s="33"/>
      <c r="EJ607" s="33"/>
      <c r="EK607" s="33"/>
      <c r="EL607" s="33"/>
      <c r="EM607" s="33"/>
      <c r="EN607" s="33"/>
      <c r="EO607" s="33"/>
      <c r="EP607" s="33"/>
      <c r="EQ607" s="33"/>
      <c r="ER607" s="33"/>
      <c r="ES607" s="33"/>
      <c r="ET607" s="33"/>
      <c r="EU607" s="33"/>
      <c r="EV607" s="33"/>
      <c r="EW607" s="33"/>
      <c r="EX607" s="33"/>
      <c r="EY607" s="33"/>
    </row>
    <row r="608" spans="44:155" x14ac:dyDescent="0.3">
      <c r="AR608" s="1"/>
      <c r="AS608" s="1"/>
      <c r="AT608" s="1"/>
      <c r="AU608" s="1"/>
      <c r="AV608" s="1"/>
      <c r="AW608" s="1"/>
      <c r="DS608" s="33"/>
      <c r="DT608" s="33"/>
      <c r="DU608" s="33"/>
      <c r="DV608" s="33"/>
      <c r="DW608" s="33"/>
      <c r="DX608" s="33"/>
      <c r="DY608" s="33"/>
      <c r="DZ608" s="33"/>
      <c r="EA608" s="33"/>
      <c r="EB608" s="33"/>
      <c r="EC608" s="33"/>
      <c r="ED608" s="33"/>
      <c r="EE608" s="33"/>
      <c r="EF608" s="33"/>
      <c r="EG608" s="33"/>
      <c r="EH608" s="33"/>
      <c r="EI608" s="33"/>
      <c r="EJ608" s="33"/>
      <c r="EK608" s="33"/>
      <c r="EL608" s="33"/>
      <c r="EM608" s="33"/>
      <c r="EN608" s="33"/>
      <c r="EO608" s="33"/>
      <c r="EP608" s="33"/>
      <c r="EQ608" s="33"/>
      <c r="ER608" s="33"/>
      <c r="ES608" s="33"/>
      <c r="ET608" s="33"/>
      <c r="EU608" s="33"/>
      <c r="EV608" s="33"/>
      <c r="EW608" s="33"/>
      <c r="EX608" s="33"/>
      <c r="EY608" s="33"/>
    </row>
    <row r="609" spans="44:155" x14ac:dyDescent="0.3">
      <c r="AR609" s="1"/>
      <c r="AS609" s="1"/>
      <c r="AT609" s="1"/>
      <c r="AU609" s="1"/>
      <c r="AV609" s="1"/>
      <c r="AW609" s="1"/>
      <c r="DS609" s="33"/>
      <c r="DT609" s="33"/>
      <c r="DU609" s="33"/>
      <c r="DV609" s="33"/>
      <c r="DW609" s="33"/>
      <c r="DX609" s="33"/>
      <c r="DY609" s="33"/>
      <c r="DZ609" s="33"/>
      <c r="EA609" s="33"/>
      <c r="EB609" s="33"/>
      <c r="EC609" s="33"/>
      <c r="ED609" s="33"/>
      <c r="EE609" s="33"/>
      <c r="EF609" s="33"/>
      <c r="EG609" s="33"/>
      <c r="EH609" s="33"/>
      <c r="EI609" s="33"/>
      <c r="EJ609" s="33"/>
      <c r="EK609" s="33"/>
      <c r="EL609" s="33"/>
      <c r="EM609" s="33"/>
      <c r="EN609" s="33"/>
      <c r="EO609" s="33"/>
      <c r="EP609" s="33"/>
      <c r="EQ609" s="33"/>
      <c r="ER609" s="33"/>
      <c r="ES609" s="33"/>
      <c r="ET609" s="33"/>
      <c r="EU609" s="33"/>
      <c r="EV609" s="33"/>
      <c r="EW609" s="33"/>
      <c r="EX609" s="33"/>
      <c r="EY609" s="33"/>
    </row>
    <row r="610" spans="44:155" x14ac:dyDescent="0.3">
      <c r="AR610" s="1"/>
      <c r="AS610" s="1"/>
      <c r="AT610" s="1"/>
      <c r="AU610" s="1"/>
      <c r="AV610" s="1"/>
      <c r="AW610" s="1"/>
      <c r="DS610" s="33"/>
      <c r="DT610" s="33"/>
      <c r="DU610" s="33"/>
      <c r="DV610" s="33"/>
      <c r="DW610" s="33"/>
      <c r="DX610" s="33"/>
      <c r="DY610" s="33"/>
      <c r="DZ610" s="33"/>
      <c r="EA610" s="33"/>
      <c r="EB610" s="33"/>
      <c r="EC610" s="33"/>
      <c r="ED610" s="33"/>
      <c r="EE610" s="33"/>
      <c r="EF610" s="33"/>
      <c r="EG610" s="33"/>
      <c r="EH610" s="33"/>
      <c r="EI610" s="33"/>
      <c r="EJ610" s="33"/>
      <c r="EK610" s="33"/>
      <c r="EL610" s="33"/>
      <c r="EM610" s="33"/>
      <c r="EN610" s="33"/>
      <c r="EO610" s="33"/>
      <c r="EP610" s="33"/>
      <c r="EQ610" s="33"/>
      <c r="ER610" s="33"/>
      <c r="ES610" s="33"/>
      <c r="ET610" s="33"/>
      <c r="EU610" s="33"/>
      <c r="EV610" s="33"/>
      <c r="EW610" s="33"/>
      <c r="EX610" s="33"/>
      <c r="EY610" s="33"/>
    </row>
    <row r="611" spans="44:155" x14ac:dyDescent="0.3">
      <c r="AR611" s="1"/>
      <c r="AS611" s="1"/>
      <c r="AT611" s="1"/>
      <c r="AU611" s="1"/>
      <c r="AV611" s="1"/>
      <c r="AW611" s="1"/>
      <c r="DS611" s="33"/>
      <c r="DT611" s="33"/>
      <c r="DU611" s="33"/>
      <c r="DV611" s="33"/>
      <c r="DW611" s="33"/>
      <c r="DX611" s="33"/>
      <c r="DY611" s="33"/>
      <c r="DZ611" s="33"/>
      <c r="EA611" s="33"/>
      <c r="EB611" s="33"/>
      <c r="EC611" s="33"/>
      <c r="ED611" s="33"/>
      <c r="EE611" s="33"/>
      <c r="EF611" s="33"/>
      <c r="EG611" s="33"/>
      <c r="EH611" s="33"/>
      <c r="EI611" s="33"/>
      <c r="EJ611" s="33"/>
      <c r="EK611" s="33"/>
      <c r="EL611" s="33"/>
      <c r="EM611" s="33"/>
      <c r="EN611" s="33"/>
      <c r="EO611" s="33"/>
      <c r="EP611" s="33"/>
      <c r="EQ611" s="33"/>
      <c r="ER611" s="33"/>
      <c r="ES611" s="33"/>
      <c r="ET611" s="33"/>
      <c r="EU611" s="33"/>
      <c r="EV611" s="33"/>
      <c r="EW611" s="33"/>
      <c r="EX611" s="33"/>
      <c r="EY611" s="33"/>
    </row>
    <row r="612" spans="44:155" x14ac:dyDescent="0.3">
      <c r="AR612" s="1"/>
      <c r="AS612" s="1"/>
      <c r="AT612" s="1"/>
      <c r="AU612" s="1"/>
      <c r="AV612" s="1"/>
      <c r="AW612" s="1"/>
      <c r="DS612" s="33"/>
      <c r="DT612" s="33"/>
      <c r="DU612" s="33"/>
      <c r="DV612" s="33"/>
      <c r="DW612" s="33"/>
      <c r="DX612" s="33"/>
      <c r="DY612" s="33"/>
      <c r="DZ612" s="33"/>
      <c r="EA612" s="33"/>
      <c r="EB612" s="33"/>
      <c r="EC612" s="33"/>
      <c r="ED612" s="33"/>
      <c r="EE612" s="33"/>
      <c r="EF612" s="33"/>
      <c r="EG612" s="33"/>
      <c r="EH612" s="33"/>
      <c r="EI612" s="33"/>
      <c r="EJ612" s="33"/>
      <c r="EK612" s="33"/>
      <c r="EL612" s="33"/>
      <c r="EM612" s="33"/>
      <c r="EN612" s="33"/>
      <c r="EO612" s="33"/>
      <c r="EP612" s="33"/>
      <c r="EQ612" s="33"/>
      <c r="ER612" s="33"/>
      <c r="ES612" s="33"/>
      <c r="ET612" s="33"/>
      <c r="EU612" s="33"/>
      <c r="EV612" s="33"/>
      <c r="EW612" s="33"/>
      <c r="EX612" s="33"/>
      <c r="EY612" s="33"/>
    </row>
    <row r="613" spans="44:155" x14ac:dyDescent="0.3">
      <c r="AR613" s="1"/>
      <c r="AS613" s="1"/>
      <c r="AT613" s="1"/>
      <c r="AU613" s="1"/>
      <c r="AV613" s="1"/>
      <c r="AW613" s="1"/>
      <c r="DS613" s="33"/>
      <c r="DT613" s="33"/>
      <c r="DU613" s="33"/>
      <c r="DV613" s="33"/>
      <c r="DW613" s="33"/>
      <c r="DX613" s="33"/>
      <c r="DY613" s="33"/>
      <c r="DZ613" s="33"/>
      <c r="EA613" s="33"/>
      <c r="EB613" s="33"/>
      <c r="EC613" s="33"/>
      <c r="ED613" s="33"/>
      <c r="EE613" s="33"/>
      <c r="EF613" s="33"/>
      <c r="EG613" s="33"/>
      <c r="EH613" s="33"/>
      <c r="EI613" s="33"/>
      <c r="EJ613" s="33"/>
      <c r="EK613" s="33"/>
      <c r="EL613" s="33"/>
      <c r="EM613" s="33"/>
      <c r="EN613" s="33"/>
      <c r="EO613" s="33"/>
      <c r="EP613" s="33"/>
      <c r="EQ613" s="33"/>
      <c r="ER613" s="33"/>
      <c r="ES613" s="33"/>
      <c r="ET613" s="33"/>
      <c r="EU613" s="33"/>
      <c r="EV613" s="33"/>
      <c r="EW613" s="33"/>
      <c r="EX613" s="33"/>
      <c r="EY613" s="33"/>
    </row>
    <row r="614" spans="44:155" x14ac:dyDescent="0.3">
      <c r="AR614" s="1"/>
      <c r="AS614" s="1"/>
      <c r="AT614" s="1"/>
      <c r="AU614" s="1"/>
      <c r="AV614" s="1"/>
      <c r="AW614" s="1"/>
      <c r="DS614" s="33"/>
      <c r="DT614" s="33"/>
      <c r="DU614" s="33"/>
      <c r="DV614" s="33"/>
      <c r="DW614" s="33"/>
      <c r="DX614" s="33"/>
      <c r="DY614" s="33"/>
      <c r="DZ614" s="33"/>
      <c r="EA614" s="33"/>
      <c r="EB614" s="33"/>
      <c r="EC614" s="33"/>
      <c r="ED614" s="33"/>
      <c r="EE614" s="33"/>
      <c r="EF614" s="33"/>
      <c r="EG614" s="33"/>
      <c r="EH614" s="33"/>
      <c r="EI614" s="33"/>
      <c r="EJ614" s="33"/>
      <c r="EK614" s="33"/>
      <c r="EL614" s="33"/>
      <c r="EM614" s="33"/>
      <c r="EN614" s="33"/>
      <c r="EO614" s="33"/>
      <c r="EP614" s="33"/>
      <c r="EQ614" s="33"/>
      <c r="ER614" s="33"/>
      <c r="ES614" s="33"/>
      <c r="ET614" s="33"/>
      <c r="EU614" s="33"/>
      <c r="EV614" s="33"/>
      <c r="EW614" s="33"/>
      <c r="EX614" s="33"/>
      <c r="EY614" s="33"/>
    </row>
    <row r="615" spans="44:155" x14ac:dyDescent="0.3">
      <c r="AR615" s="1"/>
      <c r="AS615" s="1"/>
      <c r="AT615" s="1"/>
      <c r="AU615" s="1"/>
      <c r="AV615" s="1"/>
      <c r="AW615" s="1"/>
      <c r="DS615" s="33"/>
      <c r="DT615" s="33"/>
      <c r="DU615" s="33"/>
      <c r="DV615" s="33"/>
      <c r="DW615" s="33"/>
      <c r="DX615" s="33"/>
      <c r="DY615" s="33"/>
      <c r="DZ615" s="33"/>
      <c r="EA615" s="33"/>
      <c r="EB615" s="33"/>
      <c r="EC615" s="33"/>
      <c r="ED615" s="33"/>
      <c r="EE615" s="33"/>
      <c r="EF615" s="33"/>
      <c r="EG615" s="33"/>
      <c r="EH615" s="33"/>
      <c r="EI615" s="33"/>
      <c r="EJ615" s="33"/>
      <c r="EK615" s="33"/>
      <c r="EL615" s="33"/>
      <c r="EM615" s="33"/>
      <c r="EN615" s="33"/>
      <c r="EO615" s="33"/>
      <c r="EP615" s="33"/>
      <c r="EQ615" s="33"/>
      <c r="ER615" s="33"/>
      <c r="ES615" s="33"/>
      <c r="ET615" s="33"/>
      <c r="EU615" s="33"/>
      <c r="EV615" s="33"/>
      <c r="EW615" s="33"/>
      <c r="EX615" s="33"/>
      <c r="EY615" s="33"/>
    </row>
    <row r="616" spans="44:155" x14ac:dyDescent="0.3">
      <c r="AR616" s="1"/>
      <c r="AS616" s="1"/>
      <c r="AT616" s="1"/>
      <c r="AU616" s="1"/>
      <c r="AV616" s="1"/>
      <c r="AW616" s="1"/>
      <c r="DS616" s="33"/>
      <c r="DT616" s="33"/>
      <c r="DU616" s="33"/>
      <c r="DV616" s="33"/>
      <c r="DW616" s="33"/>
      <c r="DX616" s="33"/>
      <c r="DY616" s="33"/>
      <c r="DZ616" s="33"/>
      <c r="EA616" s="33"/>
      <c r="EB616" s="33"/>
      <c r="EC616" s="33"/>
      <c r="ED616" s="33"/>
      <c r="EE616" s="33"/>
      <c r="EF616" s="33"/>
      <c r="EG616" s="33"/>
      <c r="EH616" s="33"/>
      <c r="EI616" s="33"/>
      <c r="EJ616" s="33"/>
      <c r="EK616" s="33"/>
      <c r="EL616" s="33"/>
      <c r="EM616" s="33"/>
      <c r="EN616" s="33"/>
      <c r="EO616" s="33"/>
      <c r="EP616" s="33"/>
      <c r="EQ616" s="33"/>
      <c r="ER616" s="33"/>
      <c r="ES616" s="33"/>
      <c r="ET616" s="33"/>
      <c r="EU616" s="33"/>
      <c r="EV616" s="33"/>
      <c r="EW616" s="33"/>
      <c r="EX616" s="33"/>
      <c r="EY616" s="33"/>
    </row>
    <row r="617" spans="44:155" x14ac:dyDescent="0.3">
      <c r="AR617" s="1"/>
      <c r="AS617" s="1"/>
      <c r="AT617" s="1"/>
      <c r="AU617" s="1"/>
      <c r="AV617" s="1"/>
      <c r="AW617" s="1"/>
      <c r="DS617" s="33"/>
      <c r="DT617" s="33"/>
      <c r="DU617" s="33"/>
      <c r="DV617" s="33"/>
      <c r="DW617" s="33"/>
      <c r="DX617" s="33"/>
      <c r="DY617" s="33"/>
      <c r="DZ617" s="33"/>
      <c r="EA617" s="33"/>
      <c r="EB617" s="33"/>
      <c r="EC617" s="33"/>
      <c r="ED617" s="33"/>
      <c r="EE617" s="33"/>
      <c r="EF617" s="33"/>
      <c r="EG617" s="33"/>
      <c r="EH617" s="33"/>
      <c r="EI617" s="33"/>
      <c r="EJ617" s="33"/>
      <c r="EK617" s="33"/>
      <c r="EL617" s="33"/>
      <c r="EM617" s="33"/>
      <c r="EN617" s="33"/>
      <c r="EO617" s="33"/>
      <c r="EP617" s="33"/>
      <c r="EQ617" s="33"/>
      <c r="ER617" s="33"/>
      <c r="ES617" s="33"/>
      <c r="ET617" s="33"/>
      <c r="EU617" s="33"/>
      <c r="EV617" s="33"/>
      <c r="EW617" s="33"/>
      <c r="EX617" s="33"/>
      <c r="EY617" s="33"/>
    </row>
    <row r="618" spans="44:155" x14ac:dyDescent="0.3">
      <c r="AR618" s="1"/>
      <c r="AS618" s="1"/>
      <c r="AT618" s="1"/>
      <c r="AU618" s="1"/>
      <c r="AV618" s="1"/>
      <c r="AW618" s="1"/>
      <c r="DS618" s="33"/>
      <c r="DT618" s="33"/>
      <c r="DU618" s="33"/>
      <c r="DV618" s="33"/>
      <c r="DW618" s="33"/>
      <c r="DX618" s="33"/>
      <c r="DY618" s="33"/>
      <c r="DZ618" s="33"/>
      <c r="EA618" s="33"/>
      <c r="EB618" s="33"/>
      <c r="EC618" s="33"/>
      <c r="ED618" s="33"/>
      <c r="EE618" s="33"/>
      <c r="EF618" s="33"/>
      <c r="EG618" s="33"/>
      <c r="EH618" s="33"/>
      <c r="EI618" s="33"/>
      <c r="EJ618" s="33"/>
      <c r="EK618" s="33"/>
      <c r="EL618" s="33"/>
      <c r="EM618" s="33"/>
      <c r="EN618" s="33"/>
      <c r="EO618" s="33"/>
      <c r="EP618" s="33"/>
      <c r="EQ618" s="33"/>
      <c r="ER618" s="33"/>
      <c r="ES618" s="33"/>
      <c r="ET618" s="33"/>
      <c r="EU618" s="33"/>
      <c r="EV618" s="33"/>
      <c r="EW618" s="33"/>
      <c r="EX618" s="33"/>
      <c r="EY618" s="33"/>
    </row>
    <row r="619" spans="44:155" x14ac:dyDescent="0.3">
      <c r="AR619" s="1"/>
      <c r="AS619" s="1"/>
      <c r="AT619" s="1"/>
      <c r="AU619" s="1"/>
      <c r="AV619" s="1"/>
      <c r="AW619" s="1"/>
      <c r="DS619" s="33"/>
      <c r="DT619" s="33"/>
      <c r="DU619" s="33"/>
      <c r="DV619" s="33"/>
      <c r="DW619" s="33"/>
      <c r="DX619" s="33"/>
      <c r="DY619" s="33"/>
      <c r="DZ619" s="33"/>
      <c r="EA619" s="33"/>
      <c r="EB619" s="33"/>
      <c r="EC619" s="33"/>
      <c r="ED619" s="33"/>
      <c r="EE619" s="33"/>
      <c r="EF619" s="33"/>
      <c r="EG619" s="33"/>
      <c r="EH619" s="33"/>
      <c r="EI619" s="33"/>
      <c r="EJ619" s="33"/>
      <c r="EK619" s="33"/>
      <c r="EL619" s="33"/>
      <c r="EM619" s="33"/>
      <c r="EN619" s="33"/>
      <c r="EO619" s="33"/>
      <c r="EP619" s="33"/>
      <c r="EQ619" s="33"/>
      <c r="ER619" s="33"/>
      <c r="ES619" s="33"/>
      <c r="ET619" s="33"/>
      <c r="EU619" s="33"/>
      <c r="EV619" s="33"/>
      <c r="EW619" s="33"/>
      <c r="EX619" s="33"/>
      <c r="EY619" s="33"/>
    </row>
    <row r="620" spans="44:155" x14ac:dyDescent="0.3">
      <c r="AR620" s="1"/>
      <c r="AS620" s="1"/>
      <c r="AT620" s="1"/>
      <c r="AU620" s="1"/>
      <c r="AV620" s="1"/>
      <c r="AW620" s="1"/>
      <c r="DS620" s="33"/>
      <c r="DT620" s="33"/>
      <c r="DU620" s="33"/>
      <c r="DV620" s="33"/>
      <c r="DW620" s="33"/>
      <c r="DX620" s="33"/>
      <c r="DY620" s="33"/>
      <c r="DZ620" s="33"/>
      <c r="EA620" s="33"/>
      <c r="EB620" s="33"/>
      <c r="EC620" s="33"/>
      <c r="ED620" s="33"/>
      <c r="EE620" s="33"/>
      <c r="EF620" s="33"/>
      <c r="EG620" s="33"/>
      <c r="EH620" s="33"/>
      <c r="EI620" s="33"/>
      <c r="EJ620" s="33"/>
      <c r="EK620" s="33"/>
      <c r="EL620" s="33"/>
      <c r="EM620" s="33"/>
      <c r="EN620" s="33"/>
      <c r="EO620" s="33"/>
      <c r="EP620" s="33"/>
      <c r="EQ620" s="33"/>
      <c r="ER620" s="33"/>
      <c r="ES620" s="33"/>
      <c r="ET620" s="33"/>
      <c r="EU620" s="33"/>
      <c r="EV620" s="33"/>
      <c r="EW620" s="33"/>
      <c r="EX620" s="33"/>
      <c r="EY620" s="33"/>
    </row>
    <row r="621" spans="44:155" x14ac:dyDescent="0.3">
      <c r="AR621" s="1"/>
      <c r="AS621" s="1"/>
      <c r="AT621" s="1"/>
      <c r="AU621" s="1"/>
      <c r="AV621" s="1"/>
      <c r="AW621" s="1"/>
      <c r="DS621" s="33"/>
      <c r="DT621" s="33"/>
      <c r="DU621" s="33"/>
      <c r="DV621" s="33"/>
      <c r="DW621" s="33"/>
      <c r="DX621" s="33"/>
      <c r="DY621" s="33"/>
      <c r="DZ621" s="33"/>
      <c r="EA621" s="33"/>
      <c r="EB621" s="33"/>
      <c r="EC621" s="33"/>
      <c r="ED621" s="33"/>
      <c r="EE621" s="33"/>
      <c r="EF621" s="33"/>
      <c r="EG621" s="33"/>
      <c r="EH621" s="33"/>
      <c r="EI621" s="33"/>
      <c r="EJ621" s="33"/>
      <c r="EK621" s="33"/>
      <c r="EL621" s="33"/>
      <c r="EM621" s="33"/>
      <c r="EN621" s="33"/>
      <c r="EO621" s="33"/>
      <c r="EP621" s="33"/>
      <c r="EQ621" s="33"/>
      <c r="ER621" s="33"/>
      <c r="ES621" s="33"/>
      <c r="ET621" s="33"/>
      <c r="EU621" s="33"/>
      <c r="EV621" s="33"/>
      <c r="EW621" s="33"/>
      <c r="EX621" s="33"/>
      <c r="EY621" s="33"/>
    </row>
    <row r="622" spans="44:155" x14ac:dyDescent="0.3">
      <c r="AR622" s="1"/>
      <c r="AS622" s="1"/>
      <c r="AT622" s="1"/>
      <c r="AU622" s="1"/>
      <c r="AV622" s="1"/>
      <c r="AW622" s="1"/>
      <c r="DS622" s="33"/>
      <c r="DT622" s="33"/>
      <c r="DU622" s="33"/>
      <c r="DV622" s="33"/>
      <c r="DW622" s="33"/>
      <c r="DX622" s="33"/>
      <c r="DY622" s="33"/>
      <c r="DZ622" s="33"/>
      <c r="EA622" s="33"/>
      <c r="EB622" s="33"/>
      <c r="EC622" s="33"/>
      <c r="ED622" s="33"/>
      <c r="EE622" s="33"/>
      <c r="EF622" s="33"/>
      <c r="EG622" s="33"/>
      <c r="EH622" s="33"/>
      <c r="EI622" s="33"/>
      <c r="EJ622" s="33"/>
      <c r="EK622" s="33"/>
      <c r="EL622" s="33"/>
      <c r="EM622" s="33"/>
      <c r="EN622" s="33"/>
      <c r="EO622" s="33"/>
      <c r="EP622" s="33"/>
      <c r="EQ622" s="33"/>
      <c r="ER622" s="33"/>
      <c r="ES622" s="33"/>
      <c r="ET622" s="33"/>
      <c r="EU622" s="33"/>
      <c r="EV622" s="33"/>
      <c r="EW622" s="33"/>
      <c r="EX622" s="33"/>
      <c r="EY622" s="33"/>
    </row>
    <row r="623" spans="44:155" x14ac:dyDescent="0.3">
      <c r="AR623" s="1"/>
      <c r="AS623" s="1"/>
      <c r="AT623" s="1"/>
      <c r="AU623" s="1"/>
      <c r="AV623" s="1"/>
      <c r="AW623" s="1"/>
      <c r="DS623" s="33"/>
      <c r="DT623" s="33"/>
      <c r="DU623" s="33"/>
      <c r="DV623" s="33"/>
      <c r="DW623" s="33"/>
      <c r="DX623" s="33"/>
      <c r="DY623" s="33"/>
      <c r="DZ623" s="33"/>
      <c r="EA623" s="33"/>
      <c r="EB623" s="33"/>
      <c r="EC623" s="33"/>
      <c r="ED623" s="33"/>
      <c r="EE623" s="33"/>
      <c r="EF623" s="33"/>
      <c r="EG623" s="33"/>
      <c r="EH623" s="33"/>
      <c r="EI623" s="33"/>
      <c r="EJ623" s="33"/>
      <c r="EK623" s="33"/>
      <c r="EL623" s="33"/>
      <c r="EM623" s="33"/>
      <c r="EN623" s="33"/>
      <c r="EO623" s="33"/>
      <c r="EP623" s="33"/>
      <c r="EQ623" s="33"/>
      <c r="ER623" s="33"/>
      <c r="ES623" s="33"/>
      <c r="ET623" s="33"/>
      <c r="EU623" s="33"/>
      <c r="EV623" s="33"/>
      <c r="EW623" s="33"/>
      <c r="EX623" s="33"/>
      <c r="EY623" s="33"/>
    </row>
    <row r="624" spans="44:155" x14ac:dyDescent="0.3">
      <c r="AR624" s="1"/>
      <c r="AS624" s="1"/>
      <c r="AT624" s="1"/>
      <c r="AU624" s="1"/>
      <c r="AV624" s="1"/>
      <c r="AW624" s="1"/>
      <c r="DS624" s="33"/>
      <c r="DT624" s="33"/>
      <c r="DU624" s="33"/>
      <c r="DV624" s="33"/>
      <c r="DW624" s="33"/>
      <c r="DX624" s="33"/>
      <c r="DY624" s="33"/>
      <c r="DZ624" s="33"/>
      <c r="EA624" s="33"/>
      <c r="EB624" s="33"/>
      <c r="EC624" s="33"/>
      <c r="ED624" s="33"/>
      <c r="EE624" s="33"/>
      <c r="EF624" s="33"/>
      <c r="EG624" s="33"/>
      <c r="EH624" s="33"/>
      <c r="EI624" s="33"/>
      <c r="EJ624" s="33"/>
      <c r="EK624" s="33"/>
      <c r="EL624" s="33"/>
      <c r="EM624" s="33"/>
      <c r="EN624" s="33"/>
      <c r="EO624" s="33"/>
      <c r="EP624" s="33"/>
      <c r="EQ624" s="33"/>
      <c r="ER624" s="33"/>
      <c r="ES624" s="33"/>
      <c r="ET624" s="33"/>
      <c r="EU624" s="33"/>
      <c r="EV624" s="33"/>
      <c r="EW624" s="33"/>
      <c r="EX624" s="33"/>
      <c r="EY624" s="33"/>
    </row>
    <row r="625" spans="44:155" x14ac:dyDescent="0.3">
      <c r="AR625" s="1"/>
      <c r="AS625" s="1"/>
      <c r="AT625" s="1"/>
      <c r="AU625" s="1"/>
      <c r="AV625" s="1"/>
      <c r="AW625" s="1"/>
      <c r="DS625" s="33"/>
      <c r="DT625" s="33"/>
      <c r="DU625" s="33"/>
      <c r="DV625" s="33"/>
      <c r="DW625" s="33"/>
      <c r="DX625" s="33"/>
      <c r="DY625" s="33"/>
      <c r="DZ625" s="33"/>
      <c r="EA625" s="33"/>
      <c r="EB625" s="33"/>
      <c r="EC625" s="33"/>
      <c r="ED625" s="33"/>
      <c r="EE625" s="33"/>
      <c r="EF625" s="33"/>
      <c r="EG625" s="33"/>
      <c r="EH625" s="33"/>
      <c r="EI625" s="33"/>
      <c r="EJ625" s="33"/>
      <c r="EK625" s="33"/>
      <c r="EL625" s="33"/>
      <c r="EM625" s="33"/>
      <c r="EN625" s="33"/>
      <c r="EO625" s="33"/>
      <c r="EP625" s="33"/>
      <c r="EQ625" s="33"/>
      <c r="ER625" s="33"/>
      <c r="ES625" s="33"/>
      <c r="ET625" s="33"/>
      <c r="EU625" s="33"/>
      <c r="EV625" s="33"/>
      <c r="EW625" s="33"/>
      <c r="EX625" s="33"/>
      <c r="EY625" s="33"/>
    </row>
    <row r="626" spans="44:155" x14ac:dyDescent="0.3">
      <c r="AR626" s="1"/>
      <c r="AS626" s="1"/>
      <c r="AT626" s="1"/>
      <c r="AU626" s="1"/>
      <c r="AV626" s="1"/>
      <c r="AW626" s="1"/>
      <c r="DS626" s="33"/>
      <c r="DT626" s="33"/>
      <c r="DU626" s="33"/>
      <c r="DV626" s="33"/>
      <c r="DW626" s="33"/>
      <c r="DX626" s="33"/>
      <c r="DY626" s="33"/>
      <c r="DZ626" s="33"/>
      <c r="EA626" s="33"/>
      <c r="EB626" s="33"/>
      <c r="EC626" s="33"/>
      <c r="ED626" s="33"/>
      <c r="EE626" s="33"/>
      <c r="EF626" s="33"/>
      <c r="EG626" s="33"/>
      <c r="EH626" s="33"/>
      <c r="EI626" s="33"/>
      <c r="EJ626" s="33"/>
      <c r="EK626" s="33"/>
      <c r="EL626" s="33"/>
      <c r="EM626" s="33"/>
      <c r="EN626" s="33"/>
      <c r="EO626" s="33"/>
      <c r="EP626" s="33"/>
      <c r="EQ626" s="33"/>
      <c r="ER626" s="33"/>
      <c r="ES626" s="33"/>
      <c r="ET626" s="33"/>
      <c r="EU626" s="33"/>
      <c r="EV626" s="33"/>
      <c r="EW626" s="33"/>
      <c r="EX626" s="33"/>
      <c r="EY626" s="33"/>
    </row>
    <row r="627" spans="44:155" x14ac:dyDescent="0.3">
      <c r="AR627" s="1"/>
      <c r="AS627" s="1"/>
      <c r="AT627" s="1"/>
      <c r="AU627" s="1"/>
      <c r="AV627" s="1"/>
      <c r="AW627" s="1"/>
      <c r="DS627" s="33"/>
      <c r="DT627" s="33"/>
      <c r="DU627" s="33"/>
      <c r="DV627" s="33"/>
      <c r="DW627" s="33"/>
      <c r="DX627" s="33"/>
      <c r="DY627" s="33"/>
      <c r="DZ627" s="33"/>
      <c r="EA627" s="33"/>
      <c r="EB627" s="33"/>
      <c r="EC627" s="33"/>
      <c r="ED627" s="33"/>
      <c r="EE627" s="33"/>
      <c r="EF627" s="33"/>
      <c r="EG627" s="33"/>
      <c r="EH627" s="33"/>
      <c r="EI627" s="33"/>
      <c r="EJ627" s="33"/>
      <c r="EK627" s="33"/>
      <c r="EL627" s="33"/>
      <c r="EM627" s="33"/>
      <c r="EN627" s="33"/>
      <c r="EO627" s="33"/>
      <c r="EP627" s="33"/>
      <c r="EQ627" s="33"/>
      <c r="ER627" s="33"/>
      <c r="ES627" s="33"/>
      <c r="ET627" s="33"/>
      <c r="EU627" s="33"/>
      <c r="EV627" s="33"/>
      <c r="EW627" s="33"/>
      <c r="EX627" s="33"/>
      <c r="EY627" s="33"/>
    </row>
    <row r="628" spans="44:155" x14ac:dyDescent="0.3">
      <c r="AR628" s="1"/>
      <c r="AS628" s="1"/>
      <c r="AT628" s="1"/>
      <c r="AU628" s="1"/>
      <c r="AV628" s="1"/>
      <c r="AW628" s="1"/>
      <c r="DS628" s="33"/>
      <c r="DT628" s="33"/>
      <c r="DU628" s="33"/>
      <c r="DV628" s="33"/>
      <c r="DW628" s="33"/>
      <c r="DX628" s="33"/>
      <c r="DY628" s="33"/>
      <c r="DZ628" s="33"/>
      <c r="EA628" s="33"/>
      <c r="EB628" s="33"/>
      <c r="EC628" s="33"/>
      <c r="ED628" s="33"/>
      <c r="EE628" s="33"/>
      <c r="EF628" s="33"/>
      <c r="EG628" s="33"/>
      <c r="EH628" s="33"/>
      <c r="EI628" s="33"/>
      <c r="EJ628" s="33"/>
      <c r="EK628" s="33"/>
      <c r="EL628" s="33"/>
      <c r="EM628" s="33"/>
      <c r="EN628" s="33"/>
      <c r="EO628" s="33"/>
      <c r="EP628" s="33"/>
      <c r="EQ628" s="33"/>
      <c r="ER628" s="33"/>
      <c r="ES628" s="33"/>
      <c r="ET628" s="33"/>
      <c r="EU628" s="33"/>
      <c r="EV628" s="33"/>
      <c r="EW628" s="33"/>
      <c r="EX628" s="33"/>
      <c r="EY628" s="33"/>
    </row>
    <row r="629" spans="44:155" x14ac:dyDescent="0.3">
      <c r="AR629" s="1"/>
      <c r="AS629" s="1"/>
      <c r="AT629" s="1"/>
      <c r="AU629" s="1"/>
      <c r="AV629" s="1"/>
      <c r="AW629" s="1"/>
      <c r="DS629" s="33"/>
      <c r="DT629" s="33"/>
      <c r="DU629" s="33"/>
      <c r="DV629" s="33"/>
      <c r="DW629" s="33"/>
      <c r="DX629" s="33"/>
      <c r="DY629" s="33"/>
      <c r="DZ629" s="33"/>
      <c r="EA629" s="33"/>
      <c r="EB629" s="33"/>
      <c r="EC629" s="33"/>
      <c r="ED629" s="33"/>
      <c r="EE629" s="33"/>
      <c r="EF629" s="33"/>
      <c r="EG629" s="33"/>
      <c r="EH629" s="33"/>
      <c r="EI629" s="33"/>
      <c r="EJ629" s="33"/>
      <c r="EK629" s="33"/>
      <c r="EL629" s="33"/>
      <c r="EM629" s="33"/>
      <c r="EN629" s="33"/>
      <c r="EO629" s="33"/>
      <c r="EP629" s="33"/>
      <c r="EQ629" s="33"/>
      <c r="ER629" s="33"/>
      <c r="ES629" s="33"/>
      <c r="ET629" s="33"/>
      <c r="EU629" s="33"/>
      <c r="EV629" s="33"/>
      <c r="EW629" s="33"/>
      <c r="EX629" s="33"/>
      <c r="EY629" s="33"/>
    </row>
    <row r="630" spans="44:155" x14ac:dyDescent="0.3">
      <c r="AR630" s="1"/>
      <c r="AS630" s="1"/>
      <c r="AT630" s="1"/>
      <c r="AU630" s="1"/>
      <c r="AV630" s="1"/>
      <c r="AW630" s="1"/>
      <c r="DS630" s="33"/>
      <c r="DT630" s="33"/>
      <c r="DU630" s="33"/>
      <c r="DV630" s="33"/>
      <c r="DW630" s="33"/>
      <c r="DX630" s="33"/>
      <c r="DY630" s="33"/>
      <c r="DZ630" s="33"/>
      <c r="EA630" s="33"/>
      <c r="EB630" s="33"/>
      <c r="EC630" s="33"/>
      <c r="ED630" s="33"/>
      <c r="EE630" s="33"/>
      <c r="EF630" s="33"/>
      <c r="EG630" s="33"/>
      <c r="EH630" s="33"/>
      <c r="EI630" s="33"/>
      <c r="EJ630" s="33"/>
      <c r="EK630" s="33"/>
      <c r="EL630" s="33"/>
      <c r="EM630" s="33"/>
      <c r="EN630" s="33"/>
      <c r="EO630" s="33"/>
      <c r="EP630" s="33"/>
      <c r="EQ630" s="33"/>
      <c r="ER630" s="33"/>
      <c r="ES630" s="33"/>
      <c r="ET630" s="33"/>
      <c r="EU630" s="33"/>
      <c r="EV630" s="33"/>
      <c r="EW630" s="33"/>
      <c r="EX630" s="33"/>
      <c r="EY630" s="33"/>
    </row>
    <row r="631" spans="44:155" x14ac:dyDescent="0.3">
      <c r="AR631" s="1"/>
      <c r="AS631" s="1"/>
      <c r="AT631" s="1"/>
      <c r="AU631" s="1"/>
      <c r="AV631" s="1"/>
      <c r="AW631" s="1"/>
      <c r="DS631" s="33"/>
      <c r="DT631" s="33"/>
      <c r="DU631" s="33"/>
      <c r="DV631" s="33"/>
      <c r="DW631" s="33"/>
      <c r="DX631" s="33"/>
      <c r="DY631" s="33"/>
      <c r="DZ631" s="33"/>
      <c r="EA631" s="33"/>
      <c r="EB631" s="33"/>
      <c r="EC631" s="33"/>
      <c r="ED631" s="33"/>
      <c r="EE631" s="33"/>
      <c r="EF631" s="33"/>
      <c r="EG631" s="33"/>
      <c r="EH631" s="33"/>
      <c r="EI631" s="33"/>
      <c r="EJ631" s="33"/>
      <c r="EK631" s="33"/>
      <c r="EL631" s="33"/>
      <c r="EM631" s="33"/>
      <c r="EN631" s="33"/>
      <c r="EO631" s="33"/>
      <c r="EP631" s="33"/>
      <c r="EQ631" s="33"/>
      <c r="ER631" s="33"/>
      <c r="ES631" s="33"/>
      <c r="ET631" s="33"/>
      <c r="EU631" s="33"/>
      <c r="EV631" s="33"/>
      <c r="EW631" s="33"/>
      <c r="EX631" s="33"/>
      <c r="EY631" s="33"/>
    </row>
    <row r="632" spans="44:155" x14ac:dyDescent="0.3">
      <c r="AR632" s="1"/>
      <c r="AS632" s="1"/>
      <c r="AT632" s="1"/>
      <c r="AU632" s="1"/>
      <c r="AV632" s="1"/>
      <c r="AW632" s="1"/>
      <c r="DS632" s="33"/>
      <c r="DT632" s="33"/>
      <c r="DU632" s="33"/>
      <c r="DV632" s="33"/>
      <c r="DW632" s="33"/>
      <c r="DX632" s="33"/>
      <c r="DY632" s="33"/>
      <c r="DZ632" s="33"/>
      <c r="EA632" s="33"/>
      <c r="EB632" s="33"/>
      <c r="EC632" s="33"/>
      <c r="ED632" s="33"/>
      <c r="EE632" s="33"/>
      <c r="EF632" s="33"/>
      <c r="EG632" s="33"/>
      <c r="EH632" s="33"/>
      <c r="EI632" s="33"/>
      <c r="EJ632" s="33"/>
      <c r="EK632" s="33"/>
      <c r="EL632" s="33"/>
      <c r="EM632" s="33"/>
      <c r="EN632" s="33"/>
      <c r="EO632" s="33"/>
      <c r="EP632" s="33"/>
      <c r="EQ632" s="33"/>
      <c r="ER632" s="33"/>
      <c r="ES632" s="33"/>
      <c r="ET632" s="33"/>
      <c r="EU632" s="33"/>
      <c r="EV632" s="33"/>
      <c r="EW632" s="33"/>
      <c r="EX632" s="33"/>
      <c r="EY632" s="33"/>
    </row>
    <row r="633" spans="44:155" x14ac:dyDescent="0.3">
      <c r="AR633" s="1"/>
      <c r="AS633" s="1"/>
      <c r="AT633" s="1"/>
      <c r="AU633" s="1"/>
      <c r="AV633" s="1"/>
      <c r="AW633" s="1"/>
      <c r="DS633" s="33"/>
      <c r="DT633" s="33"/>
      <c r="DU633" s="33"/>
      <c r="DV633" s="33"/>
      <c r="DW633" s="33"/>
      <c r="DX633" s="33"/>
      <c r="DY633" s="33"/>
      <c r="DZ633" s="33"/>
      <c r="EA633" s="33"/>
      <c r="EB633" s="33"/>
      <c r="EC633" s="33"/>
      <c r="ED633" s="33"/>
      <c r="EE633" s="33"/>
      <c r="EF633" s="33"/>
      <c r="EG633" s="33"/>
      <c r="EH633" s="33"/>
      <c r="EI633" s="33"/>
      <c r="EJ633" s="33"/>
      <c r="EK633" s="33"/>
      <c r="EL633" s="33"/>
      <c r="EM633" s="33"/>
      <c r="EN633" s="33"/>
      <c r="EO633" s="33"/>
      <c r="EP633" s="33"/>
      <c r="EQ633" s="33"/>
      <c r="ER633" s="33"/>
      <c r="ES633" s="33"/>
      <c r="ET633" s="33"/>
      <c r="EU633" s="33"/>
      <c r="EV633" s="33"/>
      <c r="EW633" s="33"/>
      <c r="EX633" s="33"/>
      <c r="EY633" s="33"/>
    </row>
    <row r="634" spans="44:155" x14ac:dyDescent="0.3">
      <c r="AR634" s="1"/>
      <c r="AS634" s="1"/>
      <c r="AT634" s="1"/>
      <c r="AU634" s="1"/>
      <c r="AV634" s="1"/>
      <c r="AW634" s="1"/>
      <c r="DS634" s="33"/>
      <c r="DT634" s="33"/>
      <c r="DU634" s="33"/>
      <c r="DV634" s="33"/>
      <c r="DW634" s="33"/>
      <c r="DX634" s="33"/>
      <c r="DY634" s="33"/>
      <c r="DZ634" s="33"/>
      <c r="EA634" s="33"/>
      <c r="EB634" s="33"/>
      <c r="EC634" s="33"/>
      <c r="ED634" s="33"/>
      <c r="EE634" s="33"/>
      <c r="EF634" s="33"/>
      <c r="EG634" s="33"/>
      <c r="EH634" s="33"/>
      <c r="EI634" s="33"/>
      <c r="EJ634" s="33"/>
      <c r="EK634" s="33"/>
      <c r="EL634" s="33"/>
      <c r="EM634" s="33"/>
      <c r="EN634" s="33"/>
      <c r="EO634" s="33"/>
      <c r="EP634" s="33"/>
      <c r="EQ634" s="33"/>
      <c r="ER634" s="33"/>
      <c r="ES634" s="33"/>
      <c r="ET634" s="33"/>
      <c r="EU634" s="33"/>
      <c r="EV634" s="33"/>
      <c r="EW634" s="33"/>
      <c r="EX634" s="33"/>
      <c r="EY634" s="33"/>
    </row>
    <row r="635" spans="44:155" x14ac:dyDescent="0.3">
      <c r="AR635" s="1"/>
      <c r="AS635" s="1"/>
      <c r="AT635" s="1"/>
      <c r="AU635" s="1"/>
      <c r="AV635" s="1"/>
      <c r="AW635" s="1"/>
      <c r="DS635" s="33"/>
      <c r="DT635" s="33"/>
      <c r="DU635" s="33"/>
      <c r="DV635" s="33"/>
      <c r="DW635" s="33"/>
      <c r="DX635" s="33"/>
      <c r="DY635" s="33"/>
      <c r="DZ635" s="33"/>
      <c r="EA635" s="33"/>
      <c r="EB635" s="33"/>
      <c r="EC635" s="33"/>
      <c r="ED635" s="33"/>
      <c r="EE635" s="33"/>
      <c r="EF635" s="33"/>
      <c r="EG635" s="33"/>
      <c r="EH635" s="33"/>
      <c r="EI635" s="33"/>
      <c r="EJ635" s="33"/>
      <c r="EK635" s="33"/>
      <c r="EL635" s="33"/>
      <c r="EM635" s="33"/>
      <c r="EN635" s="33"/>
      <c r="EO635" s="33"/>
      <c r="EP635" s="33"/>
      <c r="EQ635" s="33"/>
      <c r="ER635" s="33"/>
      <c r="ES635" s="33"/>
      <c r="ET635" s="33"/>
      <c r="EU635" s="33"/>
      <c r="EV635" s="33"/>
      <c r="EW635" s="33"/>
      <c r="EX635" s="33"/>
      <c r="EY635" s="33"/>
    </row>
    <row r="636" spans="44:155" x14ac:dyDescent="0.3">
      <c r="AR636" s="1"/>
      <c r="AS636" s="1"/>
      <c r="AT636" s="1"/>
      <c r="AU636" s="1"/>
      <c r="AV636" s="1"/>
      <c r="AW636" s="1"/>
      <c r="DS636" s="33"/>
      <c r="DT636" s="33"/>
      <c r="DU636" s="33"/>
      <c r="DV636" s="33"/>
      <c r="DW636" s="33"/>
      <c r="DX636" s="33"/>
      <c r="DY636" s="33"/>
      <c r="DZ636" s="33"/>
      <c r="EA636" s="33"/>
      <c r="EB636" s="33"/>
      <c r="EC636" s="33"/>
      <c r="ED636" s="33"/>
      <c r="EE636" s="33"/>
      <c r="EF636" s="33"/>
      <c r="EG636" s="33"/>
      <c r="EH636" s="33"/>
      <c r="EI636" s="33"/>
      <c r="EJ636" s="33"/>
      <c r="EK636" s="33"/>
      <c r="EL636" s="33"/>
      <c r="EM636" s="33"/>
      <c r="EN636" s="33"/>
      <c r="EO636" s="33"/>
      <c r="EP636" s="33"/>
      <c r="EQ636" s="33"/>
      <c r="ER636" s="33"/>
      <c r="ES636" s="33"/>
      <c r="ET636" s="33"/>
      <c r="EU636" s="33"/>
      <c r="EV636" s="33"/>
      <c r="EW636" s="33"/>
      <c r="EX636" s="33"/>
      <c r="EY636" s="33"/>
    </row>
    <row r="637" spans="44:155" x14ac:dyDescent="0.3">
      <c r="AR637" s="1"/>
      <c r="AS637" s="1"/>
      <c r="AT637" s="1"/>
      <c r="AU637" s="1"/>
      <c r="AV637" s="1"/>
      <c r="AW637" s="1"/>
      <c r="DS637" s="33"/>
      <c r="DT637" s="33"/>
      <c r="DU637" s="33"/>
      <c r="DV637" s="33"/>
      <c r="DW637" s="33"/>
      <c r="DX637" s="33"/>
      <c r="DY637" s="33"/>
      <c r="DZ637" s="33"/>
      <c r="EA637" s="33"/>
      <c r="EB637" s="33"/>
      <c r="EC637" s="33"/>
      <c r="ED637" s="33"/>
      <c r="EE637" s="33"/>
      <c r="EF637" s="33"/>
      <c r="EG637" s="33"/>
      <c r="EH637" s="33"/>
      <c r="EI637" s="33"/>
      <c r="EJ637" s="33"/>
      <c r="EK637" s="33"/>
      <c r="EL637" s="33"/>
      <c r="EM637" s="33"/>
      <c r="EN637" s="33"/>
      <c r="EO637" s="33"/>
      <c r="EP637" s="33"/>
      <c r="EQ637" s="33"/>
      <c r="ER637" s="33"/>
      <c r="ES637" s="33"/>
      <c r="ET637" s="33"/>
      <c r="EU637" s="33"/>
      <c r="EV637" s="33"/>
      <c r="EW637" s="33"/>
      <c r="EX637" s="33"/>
      <c r="EY637" s="33"/>
    </row>
    <row r="638" spans="44:155" x14ac:dyDescent="0.3">
      <c r="AR638" s="1"/>
      <c r="AS638" s="1"/>
      <c r="AT638" s="1"/>
      <c r="AU638" s="1"/>
      <c r="AV638" s="1"/>
      <c r="AW638" s="1"/>
      <c r="DS638" s="33"/>
      <c r="DT638" s="33"/>
      <c r="DU638" s="33"/>
      <c r="DV638" s="33"/>
      <c r="DW638" s="33"/>
      <c r="DX638" s="33"/>
      <c r="DY638" s="33"/>
      <c r="DZ638" s="33"/>
      <c r="EA638" s="33"/>
      <c r="EB638" s="33"/>
      <c r="EC638" s="33"/>
      <c r="ED638" s="33"/>
      <c r="EE638" s="33"/>
      <c r="EF638" s="33"/>
      <c r="EG638" s="33"/>
      <c r="EH638" s="33"/>
      <c r="EI638" s="33"/>
      <c r="EJ638" s="33"/>
      <c r="EK638" s="33"/>
      <c r="EL638" s="33"/>
      <c r="EM638" s="33"/>
      <c r="EN638" s="33"/>
      <c r="EO638" s="33"/>
      <c r="EP638" s="33"/>
      <c r="EQ638" s="33"/>
      <c r="ER638" s="33"/>
      <c r="ES638" s="33"/>
      <c r="ET638" s="33"/>
      <c r="EU638" s="33"/>
      <c r="EV638" s="33"/>
      <c r="EW638" s="33"/>
      <c r="EX638" s="33"/>
      <c r="EY638" s="33"/>
    </row>
    <row r="639" spans="44:155" x14ac:dyDescent="0.3">
      <c r="AR639" s="1"/>
      <c r="AS639" s="1"/>
      <c r="AT639" s="1"/>
      <c r="AU639" s="1"/>
      <c r="AV639" s="1"/>
      <c r="AW639" s="1"/>
      <c r="DS639" s="33"/>
      <c r="DT639" s="33"/>
      <c r="DU639" s="33"/>
      <c r="DV639" s="33"/>
      <c r="DW639" s="33"/>
      <c r="DX639" s="33"/>
      <c r="DY639" s="33"/>
      <c r="DZ639" s="33"/>
      <c r="EA639" s="33"/>
      <c r="EB639" s="33"/>
      <c r="EC639" s="33"/>
      <c r="ED639" s="33"/>
      <c r="EE639" s="33"/>
      <c r="EF639" s="33"/>
      <c r="EG639" s="33"/>
      <c r="EH639" s="33"/>
      <c r="EI639" s="33"/>
      <c r="EJ639" s="33"/>
      <c r="EK639" s="33"/>
      <c r="EL639" s="33"/>
      <c r="EM639" s="33"/>
      <c r="EN639" s="33"/>
      <c r="EO639" s="33"/>
      <c r="EP639" s="33"/>
      <c r="EQ639" s="33"/>
      <c r="ER639" s="33"/>
      <c r="ES639" s="33"/>
      <c r="ET639" s="33"/>
      <c r="EU639" s="33"/>
      <c r="EV639" s="33"/>
      <c r="EW639" s="33"/>
      <c r="EX639" s="33"/>
      <c r="EY639" s="33"/>
    </row>
    <row r="640" spans="44:155" x14ac:dyDescent="0.3">
      <c r="AR640" s="1"/>
      <c r="AS640" s="1"/>
      <c r="AT640" s="1"/>
      <c r="AU640" s="1"/>
      <c r="AV640" s="1"/>
      <c r="AW640" s="1"/>
      <c r="DS640" s="33"/>
      <c r="DT640" s="33"/>
      <c r="DU640" s="33"/>
      <c r="DV640" s="33"/>
      <c r="DW640" s="33"/>
      <c r="DX640" s="33"/>
      <c r="DY640" s="33"/>
      <c r="DZ640" s="33"/>
      <c r="EA640" s="33"/>
      <c r="EB640" s="33"/>
      <c r="EC640" s="33"/>
      <c r="ED640" s="33"/>
      <c r="EE640" s="33"/>
      <c r="EF640" s="33"/>
      <c r="EG640" s="33"/>
      <c r="EH640" s="33"/>
      <c r="EI640" s="33"/>
      <c r="EJ640" s="33"/>
      <c r="EK640" s="33"/>
      <c r="EL640" s="33"/>
      <c r="EM640" s="33"/>
      <c r="EN640" s="33"/>
      <c r="EO640" s="33"/>
      <c r="EP640" s="33"/>
      <c r="EQ640" s="33"/>
      <c r="ER640" s="33"/>
      <c r="ES640" s="33"/>
      <c r="ET640" s="33"/>
      <c r="EU640" s="33"/>
      <c r="EV640" s="33"/>
      <c r="EW640" s="33"/>
      <c r="EX640" s="33"/>
      <c r="EY640" s="33"/>
    </row>
    <row r="641" spans="44:155" x14ac:dyDescent="0.3">
      <c r="AR641" s="1"/>
      <c r="AS641" s="1"/>
      <c r="AT641" s="1"/>
      <c r="AU641" s="1"/>
      <c r="AV641" s="1"/>
      <c r="AW641" s="1"/>
      <c r="DS641" s="33"/>
      <c r="DT641" s="33"/>
      <c r="DU641" s="33"/>
      <c r="DV641" s="33"/>
      <c r="DW641" s="33"/>
      <c r="DX641" s="33"/>
      <c r="DY641" s="33"/>
      <c r="DZ641" s="33"/>
      <c r="EA641" s="33"/>
      <c r="EB641" s="33"/>
      <c r="EC641" s="33"/>
      <c r="ED641" s="33"/>
      <c r="EE641" s="33"/>
      <c r="EF641" s="33"/>
      <c r="EG641" s="33"/>
      <c r="EH641" s="33"/>
      <c r="EI641" s="33"/>
      <c r="EJ641" s="33"/>
      <c r="EK641" s="33"/>
      <c r="EL641" s="33"/>
      <c r="EM641" s="33"/>
      <c r="EN641" s="33"/>
      <c r="EO641" s="33"/>
      <c r="EP641" s="33"/>
      <c r="EQ641" s="33"/>
      <c r="ER641" s="33"/>
      <c r="ES641" s="33"/>
      <c r="ET641" s="33"/>
      <c r="EU641" s="33"/>
      <c r="EV641" s="33"/>
      <c r="EW641" s="33"/>
      <c r="EX641" s="33"/>
      <c r="EY641" s="33"/>
    </row>
    <row r="642" spans="44:155" x14ac:dyDescent="0.3">
      <c r="AR642" s="1"/>
      <c r="AS642" s="1"/>
      <c r="AT642" s="1"/>
      <c r="AU642" s="1"/>
      <c r="AV642" s="1"/>
      <c r="AW642" s="1"/>
      <c r="DS642" s="33"/>
      <c r="DT642" s="33"/>
      <c r="DU642" s="33"/>
      <c r="DV642" s="33"/>
      <c r="DW642" s="33"/>
      <c r="DX642" s="33"/>
      <c r="DY642" s="33"/>
      <c r="DZ642" s="33"/>
      <c r="EA642" s="33"/>
      <c r="EB642" s="33"/>
      <c r="EC642" s="33"/>
      <c r="ED642" s="33"/>
      <c r="EE642" s="33"/>
      <c r="EF642" s="33"/>
      <c r="EG642" s="33"/>
      <c r="EH642" s="33"/>
      <c r="EI642" s="33"/>
      <c r="EJ642" s="33"/>
      <c r="EK642" s="33"/>
      <c r="EL642" s="33"/>
      <c r="EM642" s="33"/>
      <c r="EN642" s="33"/>
      <c r="EO642" s="33"/>
      <c r="EP642" s="33"/>
      <c r="EQ642" s="33"/>
      <c r="ER642" s="33"/>
      <c r="ES642" s="33"/>
      <c r="ET642" s="33"/>
      <c r="EU642" s="33"/>
      <c r="EV642" s="33"/>
      <c r="EW642" s="33"/>
      <c r="EX642" s="33"/>
      <c r="EY642" s="33"/>
    </row>
    <row r="643" spans="44:155" x14ac:dyDescent="0.3">
      <c r="AR643" s="1"/>
      <c r="AS643" s="1"/>
      <c r="AT643" s="1"/>
      <c r="AU643" s="1"/>
      <c r="AV643" s="1"/>
      <c r="AW643" s="1"/>
      <c r="DS643" s="33"/>
      <c r="DT643" s="33"/>
      <c r="DU643" s="33"/>
      <c r="DV643" s="33"/>
      <c r="DW643" s="33"/>
      <c r="DX643" s="33"/>
      <c r="DY643" s="33"/>
      <c r="DZ643" s="33"/>
      <c r="EA643" s="33"/>
      <c r="EB643" s="33"/>
      <c r="EC643" s="33"/>
      <c r="ED643" s="33"/>
      <c r="EE643" s="33"/>
      <c r="EF643" s="33"/>
      <c r="EG643" s="33"/>
      <c r="EH643" s="33"/>
      <c r="EI643" s="33"/>
      <c r="EJ643" s="33"/>
      <c r="EK643" s="33"/>
      <c r="EL643" s="33"/>
      <c r="EM643" s="33"/>
      <c r="EN643" s="33"/>
      <c r="EO643" s="33"/>
      <c r="EP643" s="33"/>
      <c r="EQ643" s="33"/>
      <c r="ER643" s="33"/>
      <c r="ES643" s="33"/>
      <c r="ET643" s="33"/>
      <c r="EU643" s="33"/>
      <c r="EV643" s="33"/>
      <c r="EW643" s="33"/>
      <c r="EX643" s="33"/>
      <c r="EY643" s="33"/>
    </row>
    <row r="644" spans="44:155" x14ac:dyDescent="0.3">
      <c r="AR644" s="1"/>
      <c r="AS644" s="1"/>
      <c r="AT644" s="1"/>
      <c r="AU644" s="1"/>
      <c r="AV644" s="1"/>
      <c r="AW644" s="1"/>
      <c r="DS644" s="33"/>
      <c r="DT644" s="33"/>
      <c r="DU644" s="33"/>
      <c r="DV644" s="33"/>
      <c r="DW644" s="33"/>
      <c r="DX644" s="33"/>
      <c r="DY644" s="33"/>
      <c r="DZ644" s="33"/>
      <c r="EA644" s="33"/>
      <c r="EB644" s="33"/>
      <c r="EC644" s="33"/>
      <c r="ED644" s="33"/>
      <c r="EE644" s="33"/>
      <c r="EF644" s="33"/>
      <c r="EG644" s="33"/>
      <c r="EH644" s="33"/>
      <c r="EI644" s="33"/>
      <c r="EJ644" s="33"/>
      <c r="EK644" s="33"/>
      <c r="EL644" s="33"/>
      <c r="EM644" s="33"/>
      <c r="EN644" s="33"/>
      <c r="EO644" s="33"/>
      <c r="EP644" s="33"/>
      <c r="EQ644" s="33"/>
      <c r="ER644" s="33"/>
      <c r="ES644" s="33"/>
      <c r="ET644" s="33"/>
      <c r="EU644" s="33"/>
      <c r="EV644" s="33"/>
      <c r="EW644" s="33"/>
      <c r="EX644" s="33"/>
      <c r="EY644" s="33"/>
    </row>
    <row r="645" spans="44:155" x14ac:dyDescent="0.3">
      <c r="AR645" s="1"/>
      <c r="AS645" s="1"/>
      <c r="AT645" s="1"/>
      <c r="AU645" s="1"/>
      <c r="AV645" s="1"/>
      <c r="AW645" s="1"/>
      <c r="DS645" s="33"/>
      <c r="DT645" s="33"/>
      <c r="DU645" s="33"/>
      <c r="DV645" s="33"/>
      <c r="DW645" s="33"/>
      <c r="DX645" s="33"/>
      <c r="DY645" s="33"/>
      <c r="DZ645" s="33"/>
      <c r="EA645" s="33"/>
      <c r="EB645" s="33"/>
      <c r="EC645" s="33"/>
      <c r="ED645" s="33"/>
      <c r="EE645" s="33"/>
      <c r="EF645" s="33"/>
      <c r="EG645" s="33"/>
      <c r="EH645" s="33"/>
      <c r="EI645" s="33"/>
      <c r="EJ645" s="33"/>
      <c r="EK645" s="33"/>
      <c r="EL645" s="33"/>
      <c r="EM645" s="33"/>
      <c r="EN645" s="33"/>
      <c r="EO645" s="33"/>
      <c r="EP645" s="33"/>
      <c r="EQ645" s="33"/>
      <c r="ER645" s="33"/>
      <c r="ES645" s="33"/>
      <c r="ET645" s="33"/>
      <c r="EU645" s="33"/>
      <c r="EV645" s="33"/>
      <c r="EW645" s="33"/>
      <c r="EX645" s="33"/>
      <c r="EY645" s="33"/>
    </row>
    <row r="646" spans="44:155" x14ac:dyDescent="0.3">
      <c r="AR646" s="1"/>
      <c r="AS646" s="1"/>
      <c r="AT646" s="1"/>
      <c r="AU646" s="1"/>
      <c r="AV646" s="1"/>
      <c r="AW646" s="1"/>
      <c r="DS646" s="33"/>
      <c r="DT646" s="33"/>
      <c r="DU646" s="33"/>
      <c r="DV646" s="33"/>
      <c r="DW646" s="33"/>
      <c r="DX646" s="33"/>
      <c r="DY646" s="33"/>
      <c r="DZ646" s="33"/>
      <c r="EA646" s="33"/>
      <c r="EB646" s="33"/>
      <c r="EC646" s="33"/>
      <c r="ED646" s="33"/>
      <c r="EE646" s="33"/>
      <c r="EF646" s="33"/>
      <c r="EG646" s="33"/>
      <c r="EH646" s="33"/>
      <c r="EI646" s="33"/>
      <c r="EJ646" s="33"/>
      <c r="EK646" s="33"/>
      <c r="EL646" s="33"/>
      <c r="EM646" s="33"/>
      <c r="EN646" s="33"/>
      <c r="EO646" s="33"/>
      <c r="EP646" s="33"/>
      <c r="EQ646" s="33"/>
      <c r="ER646" s="33"/>
      <c r="ES646" s="33"/>
      <c r="ET646" s="33"/>
      <c r="EU646" s="33"/>
      <c r="EV646" s="33"/>
      <c r="EW646" s="33"/>
      <c r="EX646" s="33"/>
      <c r="EY646" s="33"/>
    </row>
    <row r="647" spans="44:155" x14ac:dyDescent="0.3">
      <c r="AR647" s="1"/>
      <c r="AS647" s="1"/>
      <c r="AT647" s="1"/>
      <c r="AU647" s="1"/>
      <c r="AV647" s="1"/>
      <c r="AW647" s="1"/>
      <c r="DS647" s="33"/>
      <c r="DT647" s="33"/>
      <c r="DU647" s="33"/>
      <c r="DV647" s="33"/>
      <c r="DW647" s="33"/>
      <c r="DX647" s="33"/>
      <c r="DY647" s="33"/>
      <c r="DZ647" s="33"/>
      <c r="EA647" s="33"/>
      <c r="EB647" s="33"/>
      <c r="EC647" s="33"/>
      <c r="ED647" s="33"/>
      <c r="EE647" s="33"/>
      <c r="EF647" s="33"/>
      <c r="EG647" s="33"/>
      <c r="EH647" s="33"/>
      <c r="EI647" s="33"/>
      <c r="EJ647" s="33"/>
      <c r="EK647" s="33"/>
      <c r="EL647" s="33"/>
      <c r="EM647" s="33"/>
      <c r="EN647" s="33"/>
      <c r="EO647" s="33"/>
      <c r="EP647" s="33"/>
      <c r="EQ647" s="33"/>
      <c r="ER647" s="33"/>
      <c r="ES647" s="33"/>
      <c r="ET647" s="33"/>
      <c r="EU647" s="33"/>
      <c r="EV647" s="33"/>
      <c r="EW647" s="33"/>
      <c r="EX647" s="33"/>
      <c r="EY647" s="33"/>
    </row>
    <row r="648" spans="44:155" x14ac:dyDescent="0.3">
      <c r="AR648" s="1"/>
      <c r="AS648" s="1"/>
      <c r="AT648" s="1"/>
      <c r="AU648" s="1"/>
      <c r="AV648" s="1"/>
      <c r="AW648" s="1"/>
      <c r="DS648" s="33"/>
      <c r="DT648" s="33"/>
      <c r="DU648" s="33"/>
      <c r="DV648" s="33"/>
      <c r="DW648" s="33"/>
      <c r="DX648" s="33"/>
      <c r="DY648" s="33"/>
      <c r="DZ648" s="33"/>
      <c r="EA648" s="33"/>
      <c r="EB648" s="33"/>
      <c r="EC648" s="33"/>
      <c r="ED648" s="33"/>
      <c r="EE648" s="33"/>
      <c r="EF648" s="33"/>
      <c r="EG648" s="33"/>
      <c r="EH648" s="33"/>
      <c r="EI648" s="33"/>
      <c r="EJ648" s="33"/>
      <c r="EK648" s="33"/>
      <c r="EL648" s="33"/>
      <c r="EM648" s="33"/>
      <c r="EN648" s="33"/>
      <c r="EO648" s="33"/>
      <c r="EP648" s="33"/>
      <c r="EQ648" s="33"/>
      <c r="ER648" s="33"/>
      <c r="ES648" s="33"/>
      <c r="ET648" s="33"/>
      <c r="EU648" s="33"/>
      <c r="EV648" s="33"/>
      <c r="EW648" s="33"/>
      <c r="EX648" s="33"/>
      <c r="EY648" s="33"/>
    </row>
    <row r="649" spans="44:155" x14ac:dyDescent="0.3">
      <c r="AR649" s="1"/>
      <c r="AS649" s="1"/>
      <c r="AT649" s="1"/>
      <c r="AU649" s="1"/>
      <c r="AV649" s="1"/>
      <c r="AW649" s="1"/>
      <c r="DS649" s="33"/>
      <c r="DT649" s="33"/>
      <c r="DU649" s="33"/>
      <c r="DV649" s="33"/>
      <c r="DW649" s="33"/>
      <c r="DX649" s="33"/>
      <c r="DY649" s="33"/>
      <c r="DZ649" s="33"/>
      <c r="EA649" s="33"/>
      <c r="EB649" s="33"/>
      <c r="EC649" s="33"/>
      <c r="ED649" s="33"/>
      <c r="EE649" s="33"/>
      <c r="EF649" s="33"/>
      <c r="EG649" s="33"/>
      <c r="EH649" s="33"/>
      <c r="EI649" s="33"/>
      <c r="EJ649" s="33"/>
      <c r="EK649" s="33"/>
      <c r="EL649" s="33"/>
      <c r="EM649" s="33"/>
      <c r="EN649" s="33"/>
      <c r="EO649" s="33"/>
      <c r="EP649" s="33"/>
      <c r="EQ649" s="33"/>
      <c r="ER649" s="33"/>
      <c r="ES649" s="33"/>
      <c r="ET649" s="33"/>
      <c r="EU649" s="33"/>
      <c r="EV649" s="33"/>
      <c r="EW649" s="33"/>
      <c r="EX649" s="33"/>
      <c r="EY649" s="33"/>
    </row>
    <row r="650" spans="44:155" x14ac:dyDescent="0.3">
      <c r="AR650" s="1"/>
      <c r="AS650" s="1"/>
      <c r="AT650" s="1"/>
      <c r="AU650" s="1"/>
      <c r="AV650" s="1"/>
      <c r="AW650" s="1"/>
      <c r="DS650" s="33"/>
      <c r="DT650" s="33"/>
      <c r="DU650" s="33"/>
      <c r="DV650" s="33"/>
      <c r="DW650" s="33"/>
      <c r="DX650" s="33"/>
      <c r="DY650" s="33"/>
      <c r="DZ650" s="33"/>
      <c r="EA650" s="33"/>
      <c r="EB650" s="33"/>
      <c r="EC650" s="33"/>
      <c r="ED650" s="33"/>
      <c r="EE650" s="33"/>
      <c r="EF650" s="33"/>
      <c r="EG650" s="33"/>
      <c r="EH650" s="33"/>
      <c r="EI650" s="33"/>
      <c r="EJ650" s="33"/>
      <c r="EK650" s="33"/>
      <c r="EL650" s="33"/>
      <c r="EM650" s="33"/>
      <c r="EN650" s="33"/>
      <c r="EO650" s="33"/>
      <c r="EP650" s="33"/>
      <c r="EQ650" s="33"/>
      <c r="ER650" s="33"/>
      <c r="ES650" s="33"/>
      <c r="ET650" s="33"/>
      <c r="EU650" s="33"/>
      <c r="EV650" s="33"/>
      <c r="EW650" s="33"/>
      <c r="EX650" s="33"/>
      <c r="EY650" s="33"/>
    </row>
    <row r="651" spans="44:155" x14ac:dyDescent="0.3">
      <c r="AR651" s="1"/>
      <c r="AS651" s="1"/>
      <c r="AT651" s="1"/>
      <c r="AU651" s="1"/>
      <c r="AV651" s="1"/>
      <c r="AW651" s="1"/>
      <c r="DS651" s="33"/>
      <c r="DT651" s="33"/>
      <c r="DU651" s="33"/>
      <c r="DV651" s="33"/>
      <c r="DW651" s="33"/>
      <c r="DX651" s="33"/>
      <c r="DY651" s="33"/>
      <c r="DZ651" s="33"/>
      <c r="EA651" s="33"/>
      <c r="EB651" s="33"/>
      <c r="EC651" s="33"/>
      <c r="ED651" s="33"/>
      <c r="EE651" s="33"/>
      <c r="EF651" s="33"/>
      <c r="EG651" s="33"/>
      <c r="EH651" s="33"/>
      <c r="EI651" s="33"/>
      <c r="EJ651" s="33"/>
      <c r="EK651" s="33"/>
      <c r="EL651" s="33"/>
      <c r="EM651" s="33"/>
      <c r="EN651" s="33"/>
      <c r="EO651" s="33"/>
      <c r="EP651" s="33"/>
      <c r="EQ651" s="33"/>
      <c r="ER651" s="33"/>
      <c r="ES651" s="33"/>
      <c r="ET651" s="33"/>
      <c r="EU651" s="33"/>
      <c r="EV651" s="33"/>
      <c r="EW651" s="33"/>
      <c r="EX651" s="33"/>
      <c r="EY651" s="33"/>
    </row>
    <row r="652" spans="44:155" x14ac:dyDescent="0.3">
      <c r="AR652" s="1"/>
      <c r="AS652" s="1"/>
      <c r="AT652" s="1"/>
      <c r="AU652" s="1"/>
      <c r="AV652" s="1"/>
      <c r="AW652" s="1"/>
      <c r="DS652" s="33"/>
      <c r="DT652" s="33"/>
      <c r="DU652" s="33"/>
      <c r="DV652" s="33"/>
      <c r="DW652" s="33"/>
      <c r="DX652" s="33"/>
      <c r="DY652" s="33"/>
      <c r="DZ652" s="33"/>
      <c r="EA652" s="33"/>
      <c r="EB652" s="33"/>
      <c r="EC652" s="33"/>
      <c r="ED652" s="33"/>
      <c r="EE652" s="33"/>
      <c r="EF652" s="33"/>
      <c r="EG652" s="33"/>
      <c r="EH652" s="33"/>
      <c r="EI652" s="33"/>
      <c r="EJ652" s="33"/>
      <c r="EK652" s="33"/>
      <c r="EL652" s="33"/>
      <c r="EM652" s="33"/>
      <c r="EN652" s="33"/>
      <c r="EO652" s="33"/>
      <c r="EP652" s="33"/>
      <c r="EQ652" s="33"/>
      <c r="ER652" s="33"/>
      <c r="ES652" s="33"/>
      <c r="ET652" s="33"/>
      <c r="EU652" s="33"/>
      <c r="EV652" s="33"/>
      <c r="EW652" s="33"/>
      <c r="EX652" s="33"/>
      <c r="EY652" s="33"/>
    </row>
    <row r="653" spans="44:155" x14ac:dyDescent="0.3">
      <c r="AR653" s="1"/>
      <c r="AS653" s="1"/>
      <c r="AT653" s="1"/>
      <c r="AU653" s="1"/>
      <c r="AV653" s="1"/>
      <c r="AW653" s="1"/>
      <c r="DS653" s="33"/>
      <c r="DT653" s="33"/>
      <c r="DU653" s="33"/>
      <c r="DV653" s="33"/>
      <c r="DW653" s="33"/>
      <c r="DX653" s="33"/>
      <c r="DY653" s="33"/>
      <c r="DZ653" s="33"/>
      <c r="EA653" s="33"/>
      <c r="EB653" s="33"/>
      <c r="EC653" s="33"/>
      <c r="ED653" s="33"/>
      <c r="EE653" s="33"/>
      <c r="EF653" s="33"/>
      <c r="EG653" s="33"/>
      <c r="EH653" s="33"/>
      <c r="EI653" s="33"/>
      <c r="EJ653" s="33"/>
      <c r="EK653" s="33"/>
      <c r="EL653" s="33"/>
      <c r="EM653" s="33"/>
      <c r="EN653" s="33"/>
      <c r="EO653" s="33"/>
      <c r="EP653" s="33"/>
      <c r="EQ653" s="33"/>
      <c r="ER653" s="33"/>
      <c r="ES653" s="33"/>
      <c r="ET653" s="33"/>
      <c r="EU653" s="33"/>
      <c r="EV653" s="33"/>
      <c r="EW653" s="33"/>
      <c r="EX653" s="33"/>
      <c r="EY653" s="33"/>
    </row>
    <row r="654" spans="44:155" x14ac:dyDescent="0.3">
      <c r="AR654" s="1"/>
      <c r="AS654" s="1"/>
      <c r="AT654" s="1"/>
      <c r="AU654" s="1"/>
      <c r="AV654" s="1"/>
      <c r="AW654" s="1"/>
      <c r="DS654" s="33"/>
      <c r="DT654" s="33"/>
      <c r="DU654" s="33"/>
      <c r="DV654" s="33"/>
      <c r="DW654" s="33"/>
      <c r="DX654" s="33"/>
      <c r="DY654" s="33"/>
      <c r="DZ654" s="33"/>
      <c r="EA654" s="33"/>
      <c r="EB654" s="33"/>
      <c r="EC654" s="33"/>
      <c r="ED654" s="33"/>
      <c r="EE654" s="33"/>
      <c r="EF654" s="33"/>
      <c r="EG654" s="33"/>
      <c r="EH654" s="33"/>
      <c r="EI654" s="33"/>
      <c r="EJ654" s="33"/>
      <c r="EK654" s="33"/>
      <c r="EL654" s="33"/>
      <c r="EM654" s="33"/>
      <c r="EN654" s="33"/>
      <c r="EO654" s="33"/>
      <c r="EP654" s="33"/>
      <c r="EQ654" s="33"/>
      <c r="ER654" s="33"/>
      <c r="ES654" s="33"/>
      <c r="ET654" s="33"/>
      <c r="EU654" s="33"/>
      <c r="EV654" s="33"/>
      <c r="EW654" s="33"/>
      <c r="EX654" s="33"/>
      <c r="EY654" s="33"/>
    </row>
    <row r="655" spans="44:155" x14ac:dyDescent="0.3">
      <c r="AR655" s="1"/>
      <c r="AS655" s="1"/>
      <c r="AT655" s="1"/>
      <c r="AU655" s="1"/>
      <c r="AV655" s="1"/>
      <c r="AW655" s="1"/>
      <c r="DS655" s="33"/>
      <c r="DT655" s="33"/>
      <c r="DU655" s="33"/>
      <c r="DV655" s="33"/>
      <c r="DW655" s="33"/>
      <c r="DX655" s="33"/>
      <c r="DY655" s="33"/>
      <c r="DZ655" s="33"/>
      <c r="EA655" s="33"/>
      <c r="EB655" s="33"/>
      <c r="EC655" s="33"/>
      <c r="ED655" s="33"/>
      <c r="EE655" s="33"/>
      <c r="EF655" s="33"/>
      <c r="EG655" s="33"/>
      <c r="EH655" s="33"/>
      <c r="EI655" s="33"/>
      <c r="EJ655" s="33"/>
      <c r="EK655" s="33"/>
      <c r="EL655" s="33"/>
      <c r="EM655" s="33"/>
      <c r="EN655" s="33"/>
      <c r="EO655" s="33"/>
      <c r="EP655" s="33"/>
      <c r="EQ655" s="33"/>
      <c r="ER655" s="33"/>
      <c r="ES655" s="33"/>
      <c r="ET655" s="33"/>
      <c r="EU655" s="33"/>
      <c r="EV655" s="33"/>
      <c r="EW655" s="33"/>
      <c r="EX655" s="33"/>
      <c r="EY655" s="33"/>
    </row>
    <row r="656" spans="44:155" x14ac:dyDescent="0.3">
      <c r="AR656" s="1"/>
      <c r="AS656" s="1"/>
      <c r="AT656" s="1"/>
      <c r="AU656" s="1"/>
      <c r="AV656" s="1"/>
      <c r="AW656" s="1"/>
      <c r="DS656" s="33"/>
      <c r="DT656" s="33"/>
      <c r="DU656" s="33"/>
      <c r="DV656" s="33"/>
      <c r="DW656" s="33"/>
      <c r="DX656" s="33"/>
      <c r="DY656" s="33"/>
      <c r="DZ656" s="33"/>
      <c r="EA656" s="33"/>
      <c r="EB656" s="33"/>
      <c r="EC656" s="33"/>
      <c r="ED656" s="33"/>
      <c r="EE656" s="33"/>
      <c r="EF656" s="33"/>
      <c r="EG656" s="33"/>
      <c r="EH656" s="33"/>
      <c r="EI656" s="33"/>
      <c r="EJ656" s="33"/>
      <c r="EK656" s="33"/>
      <c r="EL656" s="33"/>
      <c r="EM656" s="33"/>
      <c r="EN656" s="33"/>
      <c r="EO656" s="33"/>
      <c r="EP656" s="33"/>
      <c r="EQ656" s="33"/>
      <c r="ER656" s="33"/>
      <c r="ES656" s="33"/>
      <c r="ET656" s="33"/>
      <c r="EU656" s="33"/>
      <c r="EV656" s="33"/>
      <c r="EW656" s="33"/>
      <c r="EX656" s="33"/>
      <c r="EY656" s="33"/>
    </row>
    <row r="657" spans="44:155" x14ac:dyDescent="0.3">
      <c r="AR657" s="1"/>
      <c r="AS657" s="1"/>
      <c r="AT657" s="1"/>
      <c r="AU657" s="1"/>
      <c r="AV657" s="1"/>
      <c r="AW657" s="1"/>
      <c r="DS657" s="33"/>
      <c r="DT657" s="33"/>
      <c r="DU657" s="33"/>
      <c r="DV657" s="33"/>
      <c r="DW657" s="33"/>
      <c r="DX657" s="33"/>
      <c r="DY657" s="33"/>
      <c r="DZ657" s="33"/>
      <c r="EA657" s="33"/>
      <c r="EB657" s="33"/>
      <c r="EC657" s="33"/>
      <c r="ED657" s="33"/>
      <c r="EE657" s="33"/>
      <c r="EF657" s="33"/>
      <c r="EG657" s="33"/>
      <c r="EH657" s="33"/>
      <c r="EI657" s="33"/>
      <c r="EJ657" s="33"/>
      <c r="EK657" s="33"/>
      <c r="EL657" s="33"/>
      <c r="EM657" s="33"/>
      <c r="EN657" s="33"/>
      <c r="EO657" s="33"/>
      <c r="EP657" s="33"/>
      <c r="EQ657" s="33"/>
      <c r="ER657" s="33"/>
      <c r="ES657" s="33"/>
      <c r="ET657" s="33"/>
      <c r="EU657" s="33"/>
      <c r="EV657" s="33"/>
      <c r="EW657" s="33"/>
      <c r="EX657" s="33"/>
      <c r="EY657" s="33"/>
    </row>
    <row r="658" spans="44:155" x14ac:dyDescent="0.3">
      <c r="AR658" s="1"/>
      <c r="AS658" s="1"/>
      <c r="AT658" s="1"/>
      <c r="AU658" s="1"/>
      <c r="AV658" s="1"/>
      <c r="AW658" s="1"/>
      <c r="DS658" s="33"/>
      <c r="DT658" s="33"/>
      <c r="DU658" s="33"/>
      <c r="DV658" s="33"/>
      <c r="DW658" s="33"/>
      <c r="DX658" s="33"/>
      <c r="DY658" s="33"/>
      <c r="DZ658" s="33"/>
      <c r="EA658" s="33"/>
      <c r="EB658" s="33"/>
      <c r="EC658" s="33"/>
      <c r="ED658" s="33"/>
      <c r="EE658" s="33"/>
      <c r="EF658" s="33"/>
      <c r="EG658" s="33"/>
      <c r="EH658" s="33"/>
      <c r="EI658" s="33"/>
      <c r="EJ658" s="33"/>
      <c r="EK658" s="33"/>
      <c r="EL658" s="33"/>
      <c r="EM658" s="33"/>
      <c r="EN658" s="33"/>
      <c r="EO658" s="33"/>
      <c r="EP658" s="33"/>
      <c r="EQ658" s="33"/>
      <c r="ER658" s="33"/>
      <c r="ES658" s="33"/>
      <c r="ET658" s="33"/>
      <c r="EU658" s="33"/>
      <c r="EV658" s="33"/>
      <c r="EW658" s="33"/>
      <c r="EX658" s="33"/>
      <c r="EY658" s="33"/>
    </row>
    <row r="659" spans="44:155" x14ac:dyDescent="0.3">
      <c r="AR659" s="1"/>
      <c r="AS659" s="1"/>
      <c r="AT659" s="1"/>
      <c r="AU659" s="1"/>
      <c r="AV659" s="1"/>
      <c r="AW659" s="1"/>
      <c r="DS659" s="33"/>
      <c r="DT659" s="33"/>
      <c r="DU659" s="33"/>
      <c r="DV659" s="33"/>
      <c r="DW659" s="33"/>
      <c r="DX659" s="33"/>
      <c r="DY659" s="33"/>
      <c r="DZ659" s="33"/>
      <c r="EA659" s="33"/>
      <c r="EB659" s="33"/>
      <c r="EC659" s="33"/>
      <c r="ED659" s="33"/>
      <c r="EE659" s="33"/>
      <c r="EF659" s="33"/>
      <c r="EG659" s="33"/>
      <c r="EH659" s="33"/>
      <c r="EI659" s="33"/>
      <c r="EJ659" s="33"/>
      <c r="EK659" s="33"/>
      <c r="EL659" s="33"/>
      <c r="EM659" s="33"/>
      <c r="EN659" s="33"/>
      <c r="EO659" s="33"/>
      <c r="EP659" s="33"/>
      <c r="EQ659" s="33"/>
      <c r="ER659" s="33"/>
      <c r="ES659" s="33"/>
      <c r="ET659" s="33"/>
      <c r="EU659" s="33"/>
      <c r="EV659" s="33"/>
      <c r="EW659" s="33"/>
      <c r="EX659" s="33"/>
      <c r="EY659" s="33"/>
    </row>
    <row r="660" spans="44:155" x14ac:dyDescent="0.3">
      <c r="AR660" s="1"/>
      <c r="AS660" s="1"/>
      <c r="AT660" s="1"/>
      <c r="AU660" s="1"/>
      <c r="AV660" s="1"/>
      <c r="AW660" s="1"/>
      <c r="DS660" s="33"/>
      <c r="DT660" s="33"/>
      <c r="DU660" s="33"/>
      <c r="DV660" s="33"/>
      <c r="DW660" s="33"/>
      <c r="DX660" s="33"/>
      <c r="DY660" s="33"/>
      <c r="DZ660" s="33"/>
      <c r="EA660" s="33"/>
      <c r="EB660" s="33"/>
      <c r="EC660" s="33"/>
      <c r="ED660" s="33"/>
      <c r="EE660" s="33"/>
      <c r="EF660" s="33"/>
      <c r="EG660" s="33"/>
      <c r="EH660" s="33"/>
      <c r="EI660" s="33"/>
      <c r="EJ660" s="33"/>
      <c r="EK660" s="33"/>
      <c r="EL660" s="33"/>
      <c r="EM660" s="33"/>
      <c r="EN660" s="33"/>
      <c r="EO660" s="33"/>
      <c r="EP660" s="33"/>
      <c r="EQ660" s="33"/>
      <c r="ER660" s="33"/>
      <c r="ES660" s="33"/>
      <c r="ET660" s="33"/>
      <c r="EU660" s="33"/>
      <c r="EV660" s="33"/>
      <c r="EW660" s="33"/>
      <c r="EX660" s="33"/>
      <c r="EY660" s="33"/>
    </row>
    <row r="661" spans="44:155" x14ac:dyDescent="0.3">
      <c r="AR661" s="1"/>
      <c r="AS661" s="1"/>
      <c r="AT661" s="1"/>
      <c r="AU661" s="1"/>
      <c r="AV661" s="1"/>
      <c r="AW661" s="1"/>
      <c r="DS661" s="33"/>
      <c r="DT661" s="33"/>
      <c r="DU661" s="33"/>
      <c r="DV661" s="33"/>
      <c r="DW661" s="33"/>
      <c r="DX661" s="33"/>
      <c r="DY661" s="33"/>
      <c r="DZ661" s="33"/>
      <c r="EA661" s="33"/>
      <c r="EB661" s="33"/>
      <c r="EC661" s="33"/>
      <c r="ED661" s="33"/>
      <c r="EE661" s="33"/>
      <c r="EF661" s="33"/>
      <c r="EG661" s="33"/>
      <c r="EH661" s="33"/>
      <c r="EI661" s="33"/>
      <c r="EJ661" s="33"/>
      <c r="EK661" s="33"/>
      <c r="EL661" s="33"/>
      <c r="EM661" s="33"/>
      <c r="EN661" s="33"/>
      <c r="EO661" s="33"/>
      <c r="EP661" s="33"/>
      <c r="EQ661" s="33"/>
      <c r="ER661" s="33"/>
      <c r="ES661" s="33"/>
      <c r="ET661" s="33"/>
      <c r="EU661" s="33"/>
      <c r="EV661" s="33"/>
      <c r="EW661" s="33"/>
      <c r="EX661" s="33"/>
      <c r="EY661" s="33"/>
    </row>
    <row r="662" spans="44:155" x14ac:dyDescent="0.3">
      <c r="AR662" s="1"/>
      <c r="AS662" s="1"/>
      <c r="AT662" s="1"/>
      <c r="AU662" s="1"/>
      <c r="AV662" s="1"/>
      <c r="AW662" s="1"/>
      <c r="DS662" s="33"/>
      <c r="DT662" s="33"/>
      <c r="DU662" s="33"/>
      <c r="DV662" s="33"/>
      <c r="DW662" s="33"/>
      <c r="DX662" s="33"/>
      <c r="DY662" s="33"/>
      <c r="DZ662" s="33"/>
      <c r="EA662" s="33"/>
      <c r="EB662" s="33"/>
      <c r="EC662" s="33"/>
      <c r="ED662" s="33"/>
      <c r="EE662" s="33"/>
      <c r="EF662" s="33"/>
      <c r="EG662" s="33"/>
      <c r="EH662" s="33"/>
      <c r="EI662" s="33"/>
      <c r="EJ662" s="33"/>
      <c r="EK662" s="33"/>
      <c r="EL662" s="33"/>
      <c r="EM662" s="33"/>
      <c r="EN662" s="33"/>
      <c r="EO662" s="33"/>
      <c r="EP662" s="33"/>
      <c r="EQ662" s="33"/>
      <c r="ER662" s="33"/>
      <c r="ES662" s="33"/>
      <c r="ET662" s="33"/>
      <c r="EU662" s="33"/>
      <c r="EV662" s="33"/>
      <c r="EW662" s="33"/>
      <c r="EX662" s="33"/>
      <c r="EY662" s="33"/>
    </row>
    <row r="663" spans="44:155" x14ac:dyDescent="0.3">
      <c r="AR663" s="1"/>
      <c r="AS663" s="1"/>
      <c r="AT663" s="1"/>
      <c r="AU663" s="1"/>
      <c r="AV663" s="1"/>
      <c r="AW663" s="1"/>
      <c r="DS663" s="33"/>
      <c r="DT663" s="33"/>
      <c r="DU663" s="33"/>
      <c r="DV663" s="33"/>
      <c r="DW663" s="33"/>
      <c r="DX663" s="33"/>
      <c r="DY663" s="33"/>
      <c r="DZ663" s="33"/>
      <c r="EA663" s="33"/>
      <c r="EB663" s="33"/>
      <c r="EC663" s="33"/>
      <c r="ED663" s="33"/>
      <c r="EE663" s="33"/>
      <c r="EF663" s="33"/>
      <c r="EG663" s="33"/>
      <c r="EH663" s="33"/>
      <c r="EI663" s="33"/>
      <c r="EJ663" s="33"/>
      <c r="EK663" s="33"/>
      <c r="EL663" s="33"/>
      <c r="EM663" s="33"/>
      <c r="EN663" s="33"/>
      <c r="EO663" s="33"/>
      <c r="EP663" s="33"/>
      <c r="EQ663" s="33"/>
      <c r="ER663" s="33"/>
      <c r="ES663" s="33"/>
      <c r="ET663" s="33"/>
      <c r="EU663" s="33"/>
      <c r="EV663" s="33"/>
      <c r="EW663" s="33"/>
      <c r="EX663" s="33"/>
      <c r="EY663" s="33"/>
    </row>
    <row r="664" spans="44:155" x14ac:dyDescent="0.3">
      <c r="AR664" s="1"/>
      <c r="AS664" s="1"/>
      <c r="AT664" s="1"/>
      <c r="AU664" s="1"/>
      <c r="AV664" s="1"/>
      <c r="AW664" s="1"/>
      <c r="DS664" s="33"/>
      <c r="DT664" s="33"/>
      <c r="DU664" s="33"/>
      <c r="DV664" s="33"/>
      <c r="DW664" s="33"/>
      <c r="DX664" s="33"/>
      <c r="DY664" s="33"/>
      <c r="DZ664" s="33"/>
      <c r="EA664" s="33"/>
      <c r="EB664" s="33"/>
      <c r="EC664" s="33"/>
      <c r="ED664" s="33"/>
      <c r="EE664" s="33"/>
      <c r="EF664" s="33"/>
      <c r="EG664" s="33"/>
      <c r="EH664" s="33"/>
      <c r="EI664" s="33"/>
      <c r="EJ664" s="33"/>
      <c r="EK664" s="33"/>
      <c r="EL664" s="33"/>
      <c r="EM664" s="33"/>
      <c r="EN664" s="33"/>
      <c r="EO664" s="33"/>
      <c r="EP664" s="33"/>
      <c r="EQ664" s="33"/>
      <c r="ER664" s="33"/>
      <c r="ES664" s="33"/>
      <c r="ET664" s="33"/>
      <c r="EU664" s="33"/>
      <c r="EV664" s="33"/>
      <c r="EW664" s="33"/>
      <c r="EX664" s="33"/>
      <c r="EY664" s="33"/>
    </row>
    <row r="665" spans="44:155" x14ac:dyDescent="0.3">
      <c r="AR665" s="1"/>
      <c r="AS665" s="1"/>
      <c r="AT665" s="1"/>
      <c r="AU665" s="1"/>
      <c r="AV665" s="1"/>
      <c r="AW665" s="1"/>
      <c r="DS665" s="33"/>
      <c r="DT665" s="33"/>
      <c r="DU665" s="33"/>
      <c r="DV665" s="33"/>
      <c r="DW665" s="33"/>
      <c r="DX665" s="33"/>
      <c r="DY665" s="33"/>
      <c r="DZ665" s="33"/>
      <c r="EA665" s="33"/>
      <c r="EB665" s="33"/>
      <c r="EC665" s="33"/>
      <c r="ED665" s="33"/>
      <c r="EE665" s="33"/>
      <c r="EF665" s="33"/>
      <c r="EG665" s="33"/>
      <c r="EH665" s="33"/>
      <c r="EI665" s="33"/>
      <c r="EJ665" s="33"/>
      <c r="EK665" s="33"/>
      <c r="EL665" s="33"/>
      <c r="EM665" s="33"/>
      <c r="EN665" s="33"/>
      <c r="EO665" s="33"/>
      <c r="EP665" s="33"/>
      <c r="EQ665" s="33"/>
      <c r="ER665" s="33"/>
      <c r="ES665" s="33"/>
      <c r="ET665" s="33"/>
      <c r="EU665" s="33"/>
      <c r="EV665" s="33"/>
      <c r="EW665" s="33"/>
      <c r="EX665" s="33"/>
      <c r="EY665" s="33"/>
    </row>
    <row r="666" spans="44:155" x14ac:dyDescent="0.3">
      <c r="AR666" s="1"/>
      <c r="AS666" s="1"/>
      <c r="AT666" s="1"/>
      <c r="AU666" s="1"/>
      <c r="AV666" s="1"/>
      <c r="AW666" s="1"/>
      <c r="DS666" s="33"/>
      <c r="DT666" s="33"/>
      <c r="DU666" s="33"/>
      <c r="DV666" s="33"/>
      <c r="DW666" s="33"/>
      <c r="DX666" s="33"/>
      <c r="DY666" s="33"/>
      <c r="DZ666" s="33"/>
      <c r="EA666" s="33"/>
      <c r="EB666" s="33"/>
      <c r="EC666" s="33"/>
      <c r="ED666" s="33"/>
      <c r="EE666" s="33"/>
      <c r="EF666" s="33"/>
      <c r="EG666" s="33"/>
      <c r="EH666" s="33"/>
      <c r="EI666" s="33"/>
      <c r="EJ666" s="33"/>
      <c r="EK666" s="33"/>
      <c r="EL666" s="33"/>
      <c r="EM666" s="33"/>
      <c r="EN666" s="33"/>
      <c r="EO666" s="33"/>
      <c r="EP666" s="33"/>
      <c r="EQ666" s="33"/>
      <c r="ER666" s="33"/>
      <c r="ES666" s="33"/>
      <c r="ET666" s="33"/>
      <c r="EU666" s="33"/>
      <c r="EV666" s="33"/>
      <c r="EW666" s="33"/>
      <c r="EX666" s="33"/>
      <c r="EY666" s="33"/>
    </row>
    <row r="667" spans="44:155" x14ac:dyDescent="0.3">
      <c r="AR667" s="1"/>
      <c r="AS667" s="1"/>
      <c r="AT667" s="1"/>
      <c r="AU667" s="1"/>
      <c r="AV667" s="1"/>
      <c r="AW667" s="1"/>
      <c r="DS667" s="33"/>
      <c r="DT667" s="33"/>
      <c r="DU667" s="33"/>
      <c r="DV667" s="33"/>
      <c r="DW667" s="33"/>
      <c r="DX667" s="33"/>
      <c r="DY667" s="33"/>
      <c r="DZ667" s="33"/>
      <c r="EA667" s="33"/>
      <c r="EB667" s="33"/>
      <c r="EC667" s="33"/>
      <c r="ED667" s="33"/>
      <c r="EE667" s="33"/>
      <c r="EF667" s="33"/>
      <c r="EG667" s="33"/>
      <c r="EH667" s="33"/>
      <c r="EI667" s="33"/>
      <c r="EJ667" s="33"/>
      <c r="EK667" s="33"/>
      <c r="EL667" s="33"/>
      <c r="EM667" s="33"/>
      <c r="EN667" s="33"/>
      <c r="EO667" s="33"/>
      <c r="EP667" s="33"/>
      <c r="EQ667" s="33"/>
      <c r="ER667" s="33"/>
      <c r="ES667" s="33"/>
      <c r="ET667" s="33"/>
      <c r="EU667" s="33"/>
      <c r="EV667" s="33"/>
      <c r="EW667" s="33"/>
      <c r="EX667" s="33"/>
      <c r="EY667" s="33"/>
    </row>
    <row r="668" spans="44:155" x14ac:dyDescent="0.3">
      <c r="AR668" s="1"/>
      <c r="AS668" s="1"/>
      <c r="AT668" s="1"/>
      <c r="AU668" s="1"/>
      <c r="AV668" s="1"/>
      <c r="AW668" s="1"/>
      <c r="DS668" s="33"/>
      <c r="DT668" s="33"/>
      <c r="DU668" s="33"/>
      <c r="DV668" s="33"/>
      <c r="DW668" s="33"/>
      <c r="DX668" s="33"/>
      <c r="DY668" s="33"/>
      <c r="DZ668" s="33"/>
      <c r="EA668" s="33"/>
      <c r="EB668" s="33"/>
      <c r="EC668" s="33"/>
      <c r="ED668" s="33"/>
      <c r="EE668" s="33"/>
      <c r="EF668" s="33"/>
      <c r="EG668" s="33"/>
      <c r="EH668" s="33"/>
      <c r="EI668" s="33"/>
      <c r="EJ668" s="33"/>
      <c r="EK668" s="33"/>
      <c r="EL668" s="33"/>
      <c r="EM668" s="33"/>
      <c r="EN668" s="33"/>
      <c r="EO668" s="33"/>
      <c r="EP668" s="33"/>
      <c r="EQ668" s="33"/>
      <c r="ER668" s="33"/>
      <c r="ES668" s="33"/>
      <c r="ET668" s="33"/>
      <c r="EU668" s="33"/>
      <c r="EV668" s="33"/>
      <c r="EW668" s="33"/>
      <c r="EX668" s="33"/>
      <c r="EY668" s="33"/>
    </row>
    <row r="669" spans="44:155" x14ac:dyDescent="0.3">
      <c r="AR669" s="1"/>
      <c r="AS669" s="1"/>
      <c r="AT669" s="1"/>
      <c r="AU669" s="1"/>
      <c r="AV669" s="1"/>
      <c r="AW669" s="1"/>
      <c r="DS669" s="33"/>
      <c r="DT669" s="33"/>
      <c r="DU669" s="33"/>
      <c r="DV669" s="33"/>
      <c r="DW669" s="33"/>
      <c r="DX669" s="33"/>
      <c r="DY669" s="33"/>
      <c r="DZ669" s="33"/>
      <c r="EA669" s="33"/>
      <c r="EB669" s="33"/>
      <c r="EC669" s="33"/>
      <c r="ED669" s="33"/>
      <c r="EE669" s="33"/>
      <c r="EF669" s="33"/>
      <c r="EG669" s="33"/>
      <c r="EH669" s="33"/>
      <c r="EI669" s="33"/>
      <c r="EJ669" s="33"/>
      <c r="EK669" s="33"/>
      <c r="EL669" s="33"/>
      <c r="EM669" s="33"/>
      <c r="EN669" s="33"/>
      <c r="EO669" s="33"/>
      <c r="EP669" s="33"/>
      <c r="EQ669" s="33"/>
      <c r="ER669" s="33"/>
      <c r="ES669" s="33"/>
      <c r="ET669" s="33"/>
      <c r="EU669" s="33"/>
      <c r="EV669" s="33"/>
      <c r="EW669" s="33"/>
      <c r="EX669" s="33"/>
      <c r="EY669" s="33"/>
    </row>
    <row r="670" spans="44:155" x14ac:dyDescent="0.3">
      <c r="AR670" s="1"/>
      <c r="AS670" s="1"/>
      <c r="AT670" s="1"/>
      <c r="AU670" s="1"/>
      <c r="AV670" s="1"/>
      <c r="AW670" s="1"/>
      <c r="DS670" s="33"/>
      <c r="DT670" s="33"/>
      <c r="DU670" s="33"/>
      <c r="DV670" s="33"/>
      <c r="DW670" s="33"/>
      <c r="DX670" s="33"/>
      <c r="DY670" s="33"/>
      <c r="DZ670" s="33"/>
      <c r="EA670" s="33"/>
      <c r="EB670" s="33"/>
      <c r="EC670" s="33"/>
      <c r="ED670" s="33"/>
      <c r="EE670" s="33"/>
      <c r="EF670" s="33"/>
      <c r="EG670" s="33"/>
      <c r="EH670" s="33"/>
      <c r="EI670" s="33"/>
      <c r="EJ670" s="33"/>
      <c r="EK670" s="33"/>
      <c r="EL670" s="33"/>
      <c r="EM670" s="33"/>
      <c r="EN670" s="33"/>
      <c r="EO670" s="33"/>
      <c r="EP670" s="33"/>
      <c r="EQ670" s="33"/>
      <c r="ER670" s="33"/>
      <c r="ES670" s="33"/>
      <c r="ET670" s="33"/>
      <c r="EU670" s="33"/>
      <c r="EV670" s="33"/>
      <c r="EW670" s="33"/>
      <c r="EX670" s="33"/>
      <c r="EY670" s="33"/>
    </row>
    <row r="671" spans="44:155" x14ac:dyDescent="0.3">
      <c r="AR671" s="1"/>
      <c r="AS671" s="1"/>
      <c r="AT671" s="1"/>
      <c r="AU671" s="1"/>
      <c r="AV671" s="1"/>
      <c r="AW671" s="1"/>
      <c r="DS671" s="33"/>
      <c r="DT671" s="33"/>
      <c r="DU671" s="33"/>
      <c r="DV671" s="33"/>
      <c r="DW671" s="33"/>
      <c r="DX671" s="33"/>
      <c r="DY671" s="33"/>
      <c r="DZ671" s="33"/>
      <c r="EA671" s="33"/>
      <c r="EB671" s="33"/>
      <c r="EC671" s="33"/>
      <c r="ED671" s="33"/>
      <c r="EE671" s="33"/>
      <c r="EF671" s="33"/>
      <c r="EG671" s="33"/>
      <c r="EH671" s="33"/>
      <c r="EI671" s="33"/>
      <c r="EJ671" s="33"/>
      <c r="EK671" s="33"/>
      <c r="EL671" s="33"/>
      <c r="EM671" s="33"/>
      <c r="EN671" s="33"/>
      <c r="EO671" s="33"/>
      <c r="EP671" s="33"/>
      <c r="EQ671" s="33"/>
      <c r="ER671" s="33"/>
      <c r="ES671" s="33"/>
      <c r="ET671" s="33"/>
      <c r="EU671" s="33"/>
      <c r="EV671" s="33"/>
      <c r="EW671" s="33"/>
      <c r="EX671" s="33"/>
      <c r="EY671" s="33"/>
    </row>
    <row r="672" spans="44:155" x14ac:dyDescent="0.3">
      <c r="AR672" s="1"/>
      <c r="AS672" s="1"/>
      <c r="AT672" s="1"/>
      <c r="AU672" s="1"/>
      <c r="AV672" s="1"/>
      <c r="AW672" s="1"/>
      <c r="DS672" s="33"/>
      <c r="DT672" s="33"/>
      <c r="DU672" s="33"/>
      <c r="DV672" s="33"/>
      <c r="DW672" s="33"/>
      <c r="DX672" s="33"/>
      <c r="DY672" s="33"/>
      <c r="DZ672" s="33"/>
      <c r="EA672" s="33"/>
      <c r="EB672" s="33"/>
      <c r="EC672" s="33"/>
      <c r="ED672" s="33"/>
      <c r="EE672" s="33"/>
      <c r="EF672" s="33"/>
      <c r="EG672" s="33"/>
      <c r="EH672" s="33"/>
      <c r="EI672" s="33"/>
      <c r="EJ672" s="33"/>
      <c r="EK672" s="33"/>
      <c r="EL672" s="33"/>
      <c r="EM672" s="33"/>
      <c r="EN672" s="33"/>
      <c r="EO672" s="33"/>
      <c r="EP672" s="33"/>
      <c r="EQ672" s="33"/>
      <c r="ER672" s="33"/>
      <c r="ES672" s="33"/>
      <c r="ET672" s="33"/>
      <c r="EU672" s="33"/>
      <c r="EV672" s="33"/>
      <c r="EW672" s="33"/>
      <c r="EX672" s="33"/>
      <c r="EY672" s="33"/>
    </row>
    <row r="673" spans="44:155" x14ac:dyDescent="0.3">
      <c r="AR673" s="1"/>
      <c r="AS673" s="1"/>
      <c r="AT673" s="1"/>
      <c r="AU673" s="1"/>
      <c r="AV673" s="1"/>
      <c r="AW673" s="1"/>
      <c r="DS673" s="33"/>
      <c r="DT673" s="33"/>
      <c r="DU673" s="33"/>
      <c r="DV673" s="33"/>
      <c r="DW673" s="33"/>
      <c r="DX673" s="33"/>
      <c r="DY673" s="33"/>
      <c r="DZ673" s="33"/>
      <c r="EA673" s="33"/>
      <c r="EB673" s="33"/>
      <c r="EC673" s="33"/>
      <c r="ED673" s="33"/>
      <c r="EE673" s="33"/>
      <c r="EF673" s="33"/>
      <c r="EG673" s="33"/>
      <c r="EH673" s="33"/>
      <c r="EI673" s="33"/>
      <c r="EJ673" s="33"/>
      <c r="EK673" s="33"/>
      <c r="EL673" s="33"/>
      <c r="EM673" s="33"/>
      <c r="EN673" s="33"/>
      <c r="EO673" s="33"/>
      <c r="EP673" s="33"/>
      <c r="EQ673" s="33"/>
      <c r="ER673" s="33"/>
      <c r="ES673" s="33"/>
      <c r="ET673" s="33"/>
      <c r="EU673" s="33"/>
      <c r="EV673" s="33"/>
      <c r="EW673" s="33"/>
      <c r="EX673" s="33"/>
      <c r="EY673" s="33"/>
    </row>
    <row r="674" spans="44:155" x14ac:dyDescent="0.3">
      <c r="AR674" s="1"/>
      <c r="AS674" s="1"/>
      <c r="AT674" s="1"/>
      <c r="AU674" s="1"/>
      <c r="AV674" s="1"/>
      <c r="AW674" s="1"/>
      <c r="DS674" s="33"/>
      <c r="DT674" s="33"/>
      <c r="DU674" s="33"/>
      <c r="DV674" s="33"/>
      <c r="DW674" s="33"/>
      <c r="DX674" s="33"/>
      <c r="DY674" s="33"/>
      <c r="DZ674" s="33"/>
      <c r="EA674" s="33"/>
      <c r="EB674" s="33"/>
      <c r="EC674" s="33"/>
      <c r="ED674" s="33"/>
      <c r="EE674" s="33"/>
      <c r="EF674" s="33"/>
      <c r="EG674" s="33"/>
      <c r="EH674" s="33"/>
      <c r="EI674" s="33"/>
      <c r="EJ674" s="33"/>
      <c r="EK674" s="33"/>
      <c r="EL674" s="33"/>
      <c r="EM674" s="33"/>
      <c r="EN674" s="33"/>
      <c r="EO674" s="33"/>
      <c r="EP674" s="33"/>
      <c r="EQ674" s="33"/>
      <c r="ER674" s="33"/>
      <c r="ES674" s="33"/>
      <c r="ET674" s="33"/>
      <c r="EU674" s="33"/>
      <c r="EV674" s="33"/>
      <c r="EW674" s="33"/>
      <c r="EX674" s="33"/>
      <c r="EY674" s="33"/>
    </row>
    <row r="675" spans="44:155" x14ac:dyDescent="0.3">
      <c r="AR675" s="1"/>
      <c r="AS675" s="1"/>
      <c r="AT675" s="1"/>
      <c r="AU675" s="1"/>
      <c r="AV675" s="1"/>
      <c r="AW675" s="1"/>
      <c r="DS675" s="33"/>
      <c r="DT675" s="33"/>
      <c r="DU675" s="33"/>
      <c r="DV675" s="33"/>
      <c r="DW675" s="33"/>
      <c r="DX675" s="33"/>
      <c r="DY675" s="33"/>
      <c r="DZ675" s="33"/>
      <c r="EA675" s="33"/>
      <c r="EB675" s="33"/>
      <c r="EC675" s="33"/>
      <c r="ED675" s="33"/>
      <c r="EE675" s="33"/>
      <c r="EF675" s="33"/>
      <c r="EG675" s="33"/>
      <c r="EH675" s="33"/>
      <c r="EI675" s="33"/>
      <c r="EJ675" s="33"/>
      <c r="EK675" s="33"/>
      <c r="EL675" s="33"/>
      <c r="EM675" s="33"/>
      <c r="EN675" s="33"/>
      <c r="EO675" s="33"/>
      <c r="EP675" s="33"/>
      <c r="EQ675" s="33"/>
      <c r="ER675" s="33"/>
      <c r="ES675" s="33"/>
      <c r="ET675" s="33"/>
      <c r="EU675" s="33"/>
      <c r="EV675" s="33"/>
      <c r="EW675" s="33"/>
      <c r="EX675" s="33"/>
      <c r="EY675" s="33"/>
    </row>
    <row r="676" spans="44:155" x14ac:dyDescent="0.3">
      <c r="AR676" s="1"/>
      <c r="AS676" s="1"/>
      <c r="AT676" s="1"/>
      <c r="AU676" s="1"/>
      <c r="AV676" s="1"/>
      <c r="AW676" s="1"/>
      <c r="DS676" s="33"/>
      <c r="DT676" s="33"/>
      <c r="DU676" s="33"/>
      <c r="DV676" s="33"/>
      <c r="DW676" s="33"/>
      <c r="DX676" s="33"/>
      <c r="DY676" s="33"/>
      <c r="DZ676" s="33"/>
      <c r="EA676" s="33"/>
      <c r="EB676" s="33"/>
      <c r="EC676" s="33"/>
      <c r="ED676" s="33"/>
      <c r="EE676" s="33"/>
      <c r="EF676" s="33"/>
      <c r="EG676" s="33"/>
      <c r="EH676" s="33"/>
      <c r="EI676" s="33"/>
      <c r="EJ676" s="33"/>
      <c r="EK676" s="33"/>
      <c r="EL676" s="33"/>
      <c r="EM676" s="33"/>
      <c r="EN676" s="33"/>
      <c r="EO676" s="33"/>
      <c r="EP676" s="33"/>
      <c r="EQ676" s="33"/>
      <c r="ER676" s="33"/>
      <c r="ES676" s="33"/>
      <c r="ET676" s="33"/>
      <c r="EU676" s="33"/>
      <c r="EV676" s="33"/>
      <c r="EW676" s="33"/>
      <c r="EX676" s="33"/>
      <c r="EY676" s="33"/>
    </row>
    <row r="677" spans="44:155" x14ac:dyDescent="0.3">
      <c r="AR677" s="1"/>
      <c r="AS677" s="1"/>
      <c r="AT677" s="1"/>
      <c r="AU677" s="1"/>
      <c r="AV677" s="1"/>
      <c r="AW677" s="1"/>
      <c r="DS677" s="33"/>
      <c r="DT677" s="33"/>
      <c r="DU677" s="33"/>
      <c r="DV677" s="33"/>
      <c r="DW677" s="33"/>
      <c r="DX677" s="33"/>
      <c r="DY677" s="33"/>
      <c r="DZ677" s="33"/>
      <c r="EA677" s="33"/>
      <c r="EB677" s="33"/>
      <c r="EC677" s="33"/>
      <c r="ED677" s="33"/>
      <c r="EE677" s="33"/>
      <c r="EF677" s="33"/>
      <c r="EG677" s="33"/>
      <c r="EH677" s="33"/>
      <c r="EI677" s="33"/>
      <c r="EJ677" s="33"/>
      <c r="EK677" s="33"/>
      <c r="EL677" s="33"/>
      <c r="EM677" s="33"/>
      <c r="EN677" s="33"/>
      <c r="EO677" s="33"/>
      <c r="EP677" s="33"/>
      <c r="EQ677" s="33"/>
      <c r="ER677" s="33"/>
      <c r="ES677" s="33"/>
      <c r="ET677" s="33"/>
      <c r="EU677" s="33"/>
      <c r="EV677" s="33"/>
      <c r="EW677" s="33"/>
      <c r="EX677" s="33"/>
      <c r="EY677" s="33"/>
    </row>
    <row r="678" spans="44:155" x14ac:dyDescent="0.3">
      <c r="AR678" s="1"/>
      <c r="AS678" s="1"/>
      <c r="AT678" s="1"/>
      <c r="AU678" s="1"/>
      <c r="AV678" s="1"/>
      <c r="AW678" s="1"/>
      <c r="DS678" s="33"/>
      <c r="DT678" s="33"/>
      <c r="DU678" s="33"/>
      <c r="DV678" s="33"/>
      <c r="DW678" s="33"/>
      <c r="DX678" s="33"/>
      <c r="DY678" s="33"/>
      <c r="DZ678" s="33"/>
      <c r="EA678" s="33"/>
      <c r="EB678" s="33"/>
      <c r="EC678" s="33"/>
      <c r="ED678" s="33"/>
      <c r="EE678" s="33"/>
      <c r="EF678" s="33"/>
      <c r="EG678" s="33"/>
      <c r="EH678" s="33"/>
      <c r="EI678" s="33"/>
      <c r="EJ678" s="33"/>
      <c r="EK678" s="33"/>
      <c r="EL678" s="33"/>
      <c r="EM678" s="33"/>
      <c r="EN678" s="33"/>
      <c r="EO678" s="33"/>
      <c r="EP678" s="33"/>
      <c r="EQ678" s="33"/>
      <c r="ER678" s="33"/>
      <c r="ES678" s="33"/>
      <c r="ET678" s="33"/>
      <c r="EU678" s="33"/>
      <c r="EV678" s="33"/>
      <c r="EW678" s="33"/>
      <c r="EX678" s="33"/>
      <c r="EY678" s="33"/>
    </row>
    <row r="679" spans="44:155" x14ac:dyDescent="0.3">
      <c r="AR679" s="1"/>
      <c r="AS679" s="1"/>
      <c r="AT679" s="1"/>
      <c r="AU679" s="1"/>
      <c r="AV679" s="1"/>
      <c r="AW679" s="1"/>
      <c r="DS679" s="33"/>
      <c r="DT679" s="33"/>
      <c r="DU679" s="33"/>
      <c r="DV679" s="33"/>
      <c r="DW679" s="33"/>
      <c r="DX679" s="33"/>
      <c r="DY679" s="33"/>
      <c r="DZ679" s="33"/>
      <c r="EA679" s="33"/>
      <c r="EB679" s="33"/>
      <c r="EC679" s="33"/>
      <c r="ED679" s="33"/>
      <c r="EE679" s="33"/>
      <c r="EF679" s="33"/>
      <c r="EG679" s="33"/>
      <c r="EH679" s="33"/>
      <c r="EI679" s="33"/>
      <c r="EJ679" s="33"/>
      <c r="EK679" s="33"/>
      <c r="EL679" s="33"/>
      <c r="EM679" s="33"/>
      <c r="EN679" s="33"/>
      <c r="EO679" s="33"/>
      <c r="EP679" s="33"/>
      <c r="EQ679" s="33"/>
      <c r="ER679" s="33"/>
      <c r="ES679" s="33"/>
      <c r="ET679" s="33"/>
      <c r="EU679" s="33"/>
      <c r="EV679" s="33"/>
      <c r="EW679" s="33"/>
      <c r="EX679" s="33"/>
      <c r="EY679" s="33"/>
    </row>
    <row r="680" spans="44:155" x14ac:dyDescent="0.3">
      <c r="AR680" s="1"/>
      <c r="AS680" s="1"/>
      <c r="AT680" s="1"/>
      <c r="AU680" s="1"/>
      <c r="AV680" s="1"/>
      <c r="AW680" s="1"/>
      <c r="DS680" s="33"/>
      <c r="DT680" s="33"/>
      <c r="DU680" s="33"/>
      <c r="DV680" s="33"/>
      <c r="DW680" s="33"/>
      <c r="DX680" s="33"/>
      <c r="DY680" s="33"/>
      <c r="DZ680" s="33"/>
      <c r="EA680" s="33"/>
      <c r="EB680" s="33"/>
      <c r="EC680" s="33"/>
      <c r="ED680" s="33"/>
      <c r="EE680" s="33"/>
      <c r="EF680" s="33"/>
      <c r="EG680" s="33"/>
      <c r="EH680" s="33"/>
      <c r="EI680" s="33"/>
      <c r="EJ680" s="33"/>
      <c r="EK680" s="33"/>
      <c r="EL680" s="33"/>
      <c r="EM680" s="33"/>
      <c r="EN680" s="33"/>
      <c r="EO680" s="33"/>
      <c r="EP680" s="33"/>
      <c r="EQ680" s="33"/>
      <c r="ER680" s="33"/>
      <c r="ES680" s="33"/>
      <c r="ET680" s="33"/>
      <c r="EU680" s="33"/>
      <c r="EV680" s="33"/>
      <c r="EW680" s="33"/>
      <c r="EX680" s="33"/>
      <c r="EY680" s="33"/>
    </row>
    <row r="681" spans="44:155" x14ac:dyDescent="0.3">
      <c r="AR681" s="1"/>
      <c r="AS681" s="1"/>
      <c r="AT681" s="1"/>
      <c r="AU681" s="1"/>
      <c r="AV681" s="1"/>
      <c r="AW681" s="1"/>
      <c r="DS681" s="33"/>
      <c r="DT681" s="33"/>
      <c r="DU681" s="33"/>
      <c r="DV681" s="33"/>
      <c r="DW681" s="33"/>
      <c r="DX681" s="33"/>
      <c r="DY681" s="33"/>
      <c r="DZ681" s="33"/>
      <c r="EA681" s="33"/>
      <c r="EB681" s="33"/>
      <c r="EC681" s="33"/>
      <c r="ED681" s="33"/>
      <c r="EE681" s="33"/>
      <c r="EF681" s="33"/>
      <c r="EG681" s="33"/>
      <c r="EH681" s="33"/>
      <c r="EI681" s="33"/>
      <c r="EJ681" s="33"/>
      <c r="EK681" s="33"/>
      <c r="EL681" s="33"/>
      <c r="EM681" s="33"/>
      <c r="EN681" s="33"/>
      <c r="EO681" s="33"/>
      <c r="EP681" s="33"/>
      <c r="EQ681" s="33"/>
      <c r="ER681" s="33"/>
      <c r="ES681" s="33"/>
      <c r="ET681" s="33"/>
      <c r="EU681" s="33"/>
      <c r="EV681" s="33"/>
      <c r="EW681" s="33"/>
      <c r="EX681" s="33"/>
      <c r="EY681" s="33"/>
    </row>
    <row r="682" spans="44:155" x14ac:dyDescent="0.3">
      <c r="AR682" s="1"/>
      <c r="AS682" s="1"/>
      <c r="AT682" s="1"/>
      <c r="AU682" s="1"/>
      <c r="AV682" s="1"/>
      <c r="AW682" s="1"/>
      <c r="DS682" s="33"/>
      <c r="DT682" s="33"/>
      <c r="DU682" s="33"/>
      <c r="DV682" s="33"/>
      <c r="DW682" s="33"/>
      <c r="DX682" s="33"/>
      <c r="DY682" s="33"/>
      <c r="DZ682" s="33"/>
      <c r="EA682" s="33"/>
      <c r="EB682" s="33"/>
      <c r="EC682" s="33"/>
      <c r="ED682" s="33"/>
      <c r="EE682" s="33"/>
      <c r="EF682" s="33"/>
      <c r="EG682" s="33"/>
      <c r="EH682" s="33"/>
      <c r="EI682" s="33"/>
      <c r="EJ682" s="33"/>
      <c r="EK682" s="33"/>
      <c r="EL682" s="33"/>
      <c r="EM682" s="33"/>
      <c r="EN682" s="33"/>
      <c r="EO682" s="33"/>
      <c r="EP682" s="33"/>
      <c r="EQ682" s="33"/>
      <c r="ER682" s="33"/>
      <c r="ES682" s="33"/>
      <c r="ET682" s="33"/>
      <c r="EU682" s="33"/>
      <c r="EV682" s="33"/>
      <c r="EW682" s="33"/>
      <c r="EX682" s="33"/>
      <c r="EY682" s="33"/>
    </row>
    <row r="683" spans="44:155" x14ac:dyDescent="0.3">
      <c r="AR683" s="1"/>
      <c r="AS683" s="1"/>
      <c r="AT683" s="1"/>
      <c r="AU683" s="1"/>
      <c r="AV683" s="1"/>
      <c r="AW683" s="1"/>
      <c r="DS683" s="33"/>
      <c r="DT683" s="33"/>
      <c r="DU683" s="33"/>
      <c r="DV683" s="33"/>
      <c r="DW683" s="33"/>
      <c r="DX683" s="33"/>
      <c r="DY683" s="33"/>
      <c r="DZ683" s="33"/>
      <c r="EA683" s="33"/>
      <c r="EB683" s="33"/>
      <c r="EC683" s="33"/>
      <c r="ED683" s="33"/>
      <c r="EE683" s="33"/>
      <c r="EF683" s="33"/>
      <c r="EG683" s="33"/>
      <c r="EH683" s="33"/>
      <c r="EI683" s="33"/>
      <c r="EJ683" s="33"/>
      <c r="EK683" s="33"/>
      <c r="EL683" s="33"/>
      <c r="EM683" s="33"/>
      <c r="EN683" s="33"/>
      <c r="EO683" s="33"/>
      <c r="EP683" s="33"/>
      <c r="EQ683" s="33"/>
      <c r="ER683" s="33"/>
      <c r="ES683" s="33"/>
      <c r="ET683" s="33"/>
      <c r="EU683" s="33"/>
      <c r="EV683" s="33"/>
      <c r="EW683" s="33"/>
      <c r="EX683" s="33"/>
      <c r="EY683" s="33"/>
    </row>
    <row r="684" spans="44:155" x14ac:dyDescent="0.3">
      <c r="AR684" s="1"/>
      <c r="AS684" s="1"/>
      <c r="AT684" s="1"/>
      <c r="AU684" s="1"/>
      <c r="AV684" s="1"/>
      <c r="AW684" s="1"/>
      <c r="DS684" s="33"/>
      <c r="DT684" s="33"/>
      <c r="DU684" s="33"/>
      <c r="DV684" s="33"/>
      <c r="DW684" s="33"/>
      <c r="DX684" s="33"/>
      <c r="DY684" s="33"/>
      <c r="DZ684" s="33"/>
      <c r="EA684" s="33"/>
      <c r="EB684" s="33"/>
      <c r="EC684" s="33"/>
      <c r="ED684" s="33"/>
      <c r="EE684" s="33"/>
      <c r="EF684" s="33"/>
      <c r="EG684" s="33"/>
      <c r="EH684" s="33"/>
      <c r="EI684" s="33"/>
      <c r="EJ684" s="33"/>
      <c r="EK684" s="33"/>
      <c r="EL684" s="33"/>
      <c r="EM684" s="33"/>
      <c r="EN684" s="33"/>
      <c r="EO684" s="33"/>
      <c r="EP684" s="33"/>
      <c r="EQ684" s="33"/>
      <c r="ER684" s="33"/>
      <c r="ES684" s="33"/>
      <c r="ET684" s="33"/>
      <c r="EU684" s="33"/>
      <c r="EV684" s="33"/>
      <c r="EW684" s="33"/>
      <c r="EX684" s="33"/>
      <c r="EY684" s="33"/>
    </row>
    <row r="685" spans="44:155" x14ac:dyDescent="0.3">
      <c r="AR685" s="1"/>
      <c r="AS685" s="1"/>
      <c r="AT685" s="1"/>
      <c r="AU685" s="1"/>
      <c r="AV685" s="1"/>
      <c r="AW685" s="1"/>
      <c r="DS685" s="33"/>
      <c r="DT685" s="33"/>
      <c r="DU685" s="33"/>
      <c r="DV685" s="33"/>
      <c r="DW685" s="33"/>
      <c r="DX685" s="33"/>
      <c r="DY685" s="33"/>
      <c r="DZ685" s="33"/>
      <c r="EA685" s="33"/>
      <c r="EB685" s="33"/>
      <c r="EC685" s="33"/>
      <c r="ED685" s="33"/>
      <c r="EE685" s="33"/>
      <c r="EF685" s="33"/>
      <c r="EG685" s="33"/>
      <c r="EH685" s="33"/>
      <c r="EI685" s="33"/>
      <c r="EJ685" s="33"/>
      <c r="EK685" s="33"/>
      <c r="EL685" s="33"/>
      <c r="EM685" s="33"/>
      <c r="EN685" s="33"/>
      <c r="EO685" s="33"/>
      <c r="EP685" s="33"/>
      <c r="EQ685" s="33"/>
      <c r="ER685" s="33"/>
      <c r="ES685" s="33"/>
      <c r="ET685" s="33"/>
      <c r="EU685" s="33"/>
      <c r="EV685" s="33"/>
      <c r="EW685" s="33"/>
      <c r="EX685" s="33"/>
      <c r="EY685" s="33"/>
    </row>
    <row r="686" spans="44:155" x14ac:dyDescent="0.3">
      <c r="AR686" s="1"/>
      <c r="AS686" s="1"/>
      <c r="AT686" s="1"/>
      <c r="AU686" s="1"/>
      <c r="AV686" s="1"/>
      <c r="AW686" s="1"/>
      <c r="DS686" s="33"/>
      <c r="DT686" s="33"/>
      <c r="DU686" s="33"/>
      <c r="DV686" s="33"/>
      <c r="DW686" s="33"/>
      <c r="DX686" s="33"/>
      <c r="DY686" s="33"/>
      <c r="DZ686" s="33"/>
      <c r="EA686" s="33"/>
      <c r="EB686" s="33"/>
      <c r="EC686" s="33"/>
      <c r="ED686" s="33"/>
      <c r="EE686" s="33"/>
      <c r="EF686" s="33"/>
      <c r="EG686" s="33"/>
      <c r="EH686" s="33"/>
      <c r="EI686" s="33"/>
      <c r="EJ686" s="33"/>
      <c r="EK686" s="33"/>
      <c r="EL686" s="33"/>
      <c r="EM686" s="33"/>
      <c r="EN686" s="33"/>
      <c r="EO686" s="33"/>
      <c r="EP686" s="33"/>
      <c r="EQ686" s="33"/>
      <c r="ER686" s="33"/>
      <c r="ES686" s="33"/>
      <c r="ET686" s="33"/>
      <c r="EU686" s="33"/>
      <c r="EV686" s="33"/>
      <c r="EW686" s="33"/>
      <c r="EX686" s="33"/>
      <c r="EY686" s="33"/>
    </row>
    <row r="687" spans="44:155" x14ac:dyDescent="0.3">
      <c r="AR687" s="1"/>
      <c r="AS687" s="1"/>
      <c r="AT687" s="1"/>
      <c r="AU687" s="1"/>
      <c r="AV687" s="1"/>
      <c r="AW687" s="1"/>
      <c r="DS687" s="33"/>
      <c r="DT687" s="33"/>
      <c r="DU687" s="33"/>
      <c r="DV687" s="33"/>
      <c r="DW687" s="33"/>
      <c r="DX687" s="33"/>
      <c r="DY687" s="33"/>
      <c r="DZ687" s="33"/>
      <c r="EA687" s="33"/>
      <c r="EB687" s="33"/>
      <c r="EC687" s="33"/>
      <c r="ED687" s="33"/>
      <c r="EE687" s="33"/>
      <c r="EF687" s="33"/>
      <c r="EG687" s="33"/>
      <c r="EH687" s="33"/>
      <c r="EI687" s="33"/>
      <c r="EJ687" s="33"/>
      <c r="EK687" s="33"/>
      <c r="EL687" s="33"/>
      <c r="EM687" s="33"/>
      <c r="EN687" s="33"/>
      <c r="EO687" s="33"/>
      <c r="EP687" s="33"/>
      <c r="EQ687" s="33"/>
      <c r="ER687" s="33"/>
      <c r="ES687" s="33"/>
      <c r="ET687" s="33"/>
      <c r="EU687" s="33"/>
      <c r="EV687" s="33"/>
      <c r="EW687" s="33"/>
      <c r="EX687" s="33"/>
      <c r="EY687" s="33"/>
    </row>
    <row r="688" spans="44:155" x14ac:dyDescent="0.3">
      <c r="AR688" s="1"/>
      <c r="AS688" s="1"/>
      <c r="AT688" s="1"/>
      <c r="AU688" s="1"/>
      <c r="AV688" s="1"/>
      <c r="AW688" s="1"/>
      <c r="DS688" s="33"/>
      <c r="DT688" s="33"/>
      <c r="DU688" s="33"/>
      <c r="DV688" s="33"/>
      <c r="DW688" s="33"/>
      <c r="DX688" s="33"/>
      <c r="DY688" s="33"/>
      <c r="DZ688" s="33"/>
      <c r="EA688" s="33"/>
      <c r="EB688" s="33"/>
      <c r="EC688" s="33"/>
      <c r="ED688" s="33"/>
      <c r="EE688" s="33"/>
      <c r="EF688" s="33"/>
      <c r="EG688" s="33"/>
      <c r="EH688" s="33"/>
      <c r="EI688" s="33"/>
      <c r="EJ688" s="33"/>
      <c r="EK688" s="33"/>
      <c r="EL688" s="33"/>
      <c r="EM688" s="33"/>
      <c r="EN688" s="33"/>
      <c r="EO688" s="33"/>
      <c r="EP688" s="33"/>
      <c r="EQ688" s="33"/>
      <c r="ER688" s="33"/>
      <c r="ES688" s="33"/>
      <c r="ET688" s="33"/>
      <c r="EU688" s="33"/>
      <c r="EV688" s="33"/>
      <c r="EW688" s="33"/>
      <c r="EX688" s="33"/>
      <c r="EY688" s="33"/>
    </row>
    <row r="689" spans="44:155" x14ac:dyDescent="0.3">
      <c r="AR689" s="1"/>
      <c r="AS689" s="1"/>
      <c r="AT689" s="1"/>
      <c r="AU689" s="1"/>
      <c r="AV689" s="1"/>
      <c r="AW689" s="1"/>
      <c r="DS689" s="33"/>
      <c r="DT689" s="33"/>
      <c r="DU689" s="33"/>
      <c r="DV689" s="33"/>
      <c r="DW689" s="33"/>
      <c r="DX689" s="33"/>
      <c r="DY689" s="33"/>
      <c r="DZ689" s="33"/>
      <c r="EA689" s="33"/>
      <c r="EB689" s="33"/>
      <c r="EC689" s="33"/>
      <c r="ED689" s="33"/>
      <c r="EE689" s="33"/>
      <c r="EF689" s="33"/>
      <c r="EG689" s="33"/>
      <c r="EH689" s="33"/>
      <c r="EI689" s="33"/>
      <c r="EJ689" s="33"/>
      <c r="EK689" s="33"/>
      <c r="EL689" s="33"/>
      <c r="EM689" s="33"/>
      <c r="EN689" s="33"/>
      <c r="EO689" s="33"/>
      <c r="EP689" s="33"/>
      <c r="EQ689" s="33"/>
      <c r="ER689" s="33"/>
      <c r="ES689" s="33"/>
      <c r="ET689" s="33"/>
      <c r="EU689" s="33"/>
      <c r="EV689" s="33"/>
      <c r="EW689" s="33"/>
      <c r="EX689" s="33"/>
      <c r="EY689" s="33"/>
    </row>
    <row r="690" spans="44:155" x14ac:dyDescent="0.3">
      <c r="AR690" s="1"/>
      <c r="AS690" s="1"/>
      <c r="AT690" s="1"/>
      <c r="AU690" s="1"/>
      <c r="AV690" s="1"/>
      <c r="AW690" s="1"/>
      <c r="DS690" s="33"/>
      <c r="DT690" s="33"/>
      <c r="DU690" s="33"/>
      <c r="DV690" s="33"/>
      <c r="DW690" s="33"/>
      <c r="DX690" s="33"/>
      <c r="DY690" s="33"/>
      <c r="DZ690" s="33"/>
      <c r="EA690" s="33"/>
      <c r="EB690" s="33"/>
      <c r="EC690" s="33"/>
      <c r="ED690" s="33"/>
      <c r="EE690" s="33"/>
      <c r="EF690" s="33"/>
      <c r="EG690" s="33"/>
      <c r="EH690" s="33"/>
      <c r="EI690" s="33"/>
      <c r="EJ690" s="33"/>
      <c r="EK690" s="33"/>
      <c r="EL690" s="33"/>
      <c r="EM690" s="33"/>
      <c r="EN690" s="33"/>
      <c r="EO690" s="33"/>
      <c r="EP690" s="33"/>
      <c r="EQ690" s="33"/>
      <c r="ER690" s="33"/>
      <c r="ES690" s="33"/>
      <c r="ET690" s="33"/>
      <c r="EU690" s="33"/>
      <c r="EV690" s="33"/>
      <c r="EW690" s="33"/>
      <c r="EX690" s="33"/>
      <c r="EY690" s="33"/>
    </row>
    <row r="691" spans="44:155" x14ac:dyDescent="0.3">
      <c r="AR691" s="1"/>
      <c r="AS691" s="1"/>
      <c r="AT691" s="1"/>
      <c r="AU691" s="1"/>
      <c r="AV691" s="1"/>
      <c r="AW691" s="1"/>
      <c r="DS691" s="33"/>
      <c r="DT691" s="33"/>
      <c r="DU691" s="33"/>
      <c r="DV691" s="33"/>
      <c r="DW691" s="33"/>
      <c r="DX691" s="33"/>
      <c r="DY691" s="33"/>
      <c r="DZ691" s="33"/>
      <c r="EA691" s="33"/>
      <c r="EB691" s="33"/>
      <c r="EC691" s="33"/>
      <c r="ED691" s="33"/>
      <c r="EE691" s="33"/>
      <c r="EF691" s="33"/>
      <c r="EG691" s="33"/>
      <c r="EH691" s="33"/>
      <c r="EI691" s="33"/>
      <c r="EJ691" s="33"/>
      <c r="EK691" s="33"/>
      <c r="EL691" s="33"/>
      <c r="EM691" s="33"/>
      <c r="EN691" s="33"/>
      <c r="EO691" s="33"/>
      <c r="EP691" s="33"/>
      <c r="EQ691" s="33"/>
      <c r="ER691" s="33"/>
      <c r="ES691" s="33"/>
      <c r="ET691" s="33"/>
      <c r="EU691" s="33"/>
      <c r="EV691" s="33"/>
      <c r="EW691" s="33"/>
      <c r="EX691" s="33"/>
      <c r="EY691" s="33"/>
    </row>
    <row r="692" spans="44:155" x14ac:dyDescent="0.3">
      <c r="AR692" s="1"/>
      <c r="AS692" s="1"/>
      <c r="AT692" s="1"/>
      <c r="AU692" s="1"/>
      <c r="AV692" s="1"/>
      <c r="AW692" s="1"/>
      <c r="DS692" s="33"/>
      <c r="DT692" s="33"/>
      <c r="DU692" s="33"/>
      <c r="DV692" s="33"/>
      <c r="DW692" s="33"/>
      <c r="DX692" s="33"/>
      <c r="DY692" s="33"/>
      <c r="DZ692" s="33"/>
      <c r="EA692" s="33"/>
      <c r="EB692" s="33"/>
      <c r="EC692" s="33"/>
      <c r="ED692" s="33"/>
      <c r="EE692" s="33"/>
      <c r="EF692" s="33"/>
      <c r="EG692" s="33"/>
      <c r="EH692" s="33"/>
      <c r="EI692" s="33"/>
      <c r="EJ692" s="33"/>
      <c r="EK692" s="33"/>
      <c r="EL692" s="33"/>
      <c r="EM692" s="33"/>
      <c r="EN692" s="33"/>
      <c r="EO692" s="33"/>
      <c r="EP692" s="33"/>
      <c r="EQ692" s="33"/>
      <c r="ER692" s="33"/>
      <c r="ES692" s="33"/>
      <c r="ET692" s="33"/>
      <c r="EU692" s="33"/>
      <c r="EV692" s="33"/>
      <c r="EW692" s="33"/>
      <c r="EX692" s="33"/>
      <c r="EY692" s="33"/>
    </row>
  </sheetData>
  <sheetProtection algorithmName="SHA-512" hashValue="ZoXOab8Ctg3luF8Y/JqyW6f/y/mKVbgs/pCKG2MSX5BYnUeEmVhkPzo9HyTiZzNo6hTd31amLdtawiajV40WaA==" saltValue="R/I2RrxehIEJ+HZgkMv1RA==" spinCount="100000" sheet="1" objects="1" scenarios="1"/>
  <mergeCells count="94">
    <mergeCell ref="AC21:AD21"/>
    <mergeCell ref="AA19:AB19"/>
    <mergeCell ref="E21:G21"/>
    <mergeCell ref="E22:G22"/>
    <mergeCell ref="F20:G20"/>
    <mergeCell ref="F19:G19"/>
    <mergeCell ref="I51:U51"/>
    <mergeCell ref="AA21:AB21"/>
    <mergeCell ref="U21:Z21"/>
    <mergeCell ref="AA23:AB23"/>
    <mergeCell ref="AA22:AB22"/>
    <mergeCell ref="Q21:R21"/>
    <mergeCell ref="H21:I21"/>
    <mergeCell ref="J21:M21"/>
    <mergeCell ref="E10:F10"/>
    <mergeCell ref="E11:F11"/>
    <mergeCell ref="Q8:W8"/>
    <mergeCell ref="Q9:W9"/>
    <mergeCell ref="AO2:AQ2"/>
    <mergeCell ref="W2:AA2"/>
    <mergeCell ref="AJ6:AK6"/>
    <mergeCell ref="AD2:AK2"/>
    <mergeCell ref="E5:F5"/>
    <mergeCell ref="E6:F6"/>
    <mergeCell ref="E7:F7"/>
    <mergeCell ref="E9:F9"/>
    <mergeCell ref="AJ7:AK7"/>
    <mergeCell ref="AJ8:AK8"/>
    <mergeCell ref="E8:F8"/>
    <mergeCell ref="AL12:AR12"/>
    <mergeCell ref="AJ18:AK18"/>
    <mergeCell ref="AJ16:AK16"/>
    <mergeCell ref="AJ12:AK12"/>
    <mergeCell ref="AO24:AQ24"/>
    <mergeCell ref="AE21:AM21"/>
    <mergeCell ref="AJ23:AL23"/>
    <mergeCell ref="AN21:AQ21"/>
    <mergeCell ref="AO22:AQ22"/>
    <mergeCell ref="AJ22:AM22"/>
    <mergeCell ref="AO19:AQ19"/>
    <mergeCell ref="AO20:AQ20"/>
    <mergeCell ref="AJ20:AM20"/>
    <mergeCell ref="AJ19:AM19"/>
    <mergeCell ref="AO46:AQ46"/>
    <mergeCell ref="AO47:AQ47"/>
    <mergeCell ref="AO44:AQ44"/>
    <mergeCell ref="AO34:AQ34"/>
    <mergeCell ref="AO35:AQ35"/>
    <mergeCell ref="AO36:AQ36"/>
    <mergeCell ref="AO37:AQ37"/>
    <mergeCell ref="AO40:AQ40"/>
    <mergeCell ref="AO42:AQ42"/>
    <mergeCell ref="AO38:AQ38"/>
    <mergeCell ref="AO39:AQ39"/>
    <mergeCell ref="AO41:AQ41"/>
    <mergeCell ref="AO31:AQ31"/>
    <mergeCell ref="AO27:AQ27"/>
    <mergeCell ref="AO25:AQ25"/>
    <mergeCell ref="AO45:AQ45"/>
    <mergeCell ref="AO33:AQ33"/>
    <mergeCell ref="AO32:AQ32"/>
    <mergeCell ref="AO28:AQ28"/>
    <mergeCell ref="AO29:AQ29"/>
    <mergeCell ref="AO49:AQ49"/>
    <mergeCell ref="AO26:AQ26"/>
    <mergeCell ref="AJ31:AM31"/>
    <mergeCell ref="AJ26:AM26"/>
    <mergeCell ref="AO43:AQ43"/>
    <mergeCell ref="AO48:AQ48"/>
    <mergeCell ref="AJ36:AM36"/>
    <mergeCell ref="AJ37:AM37"/>
    <mergeCell ref="AJ44:AM44"/>
    <mergeCell ref="AJ34:AM34"/>
    <mergeCell ref="AJ35:AM35"/>
    <mergeCell ref="AJ40:AM40"/>
    <mergeCell ref="AJ38:AM38"/>
    <mergeCell ref="AJ47:AM47"/>
    <mergeCell ref="AJ48:AM48"/>
    <mergeCell ref="AO30:AQ30"/>
    <mergeCell ref="AJ25:AM25"/>
    <mergeCell ref="AJ24:AM24"/>
    <mergeCell ref="AJ49:AM49"/>
    <mergeCell ref="AJ33:AM33"/>
    <mergeCell ref="AJ39:AM39"/>
    <mergeCell ref="AJ43:AM43"/>
    <mergeCell ref="AJ41:AM41"/>
    <mergeCell ref="AJ42:AM42"/>
    <mergeCell ref="AJ45:AM45"/>
    <mergeCell ref="AJ46:AM46"/>
    <mergeCell ref="AJ32:AM32"/>
    <mergeCell ref="AJ30:AM30"/>
    <mergeCell ref="AJ27:AM27"/>
    <mergeCell ref="AJ28:AM28"/>
    <mergeCell ref="AJ29:AM29"/>
  </mergeCells>
  <phoneticPr fontId="0" type="noConversion"/>
  <conditionalFormatting sqref="AJ12">
    <cfRule type="cellIs" dxfId="360" priority="509" stopIfTrue="1" operator="equal">
      <formula>"N.C."</formula>
    </cfRule>
  </conditionalFormatting>
  <conditionalFormatting sqref="AS12 AP13">
    <cfRule type="cellIs" dxfId="359" priority="510" stopIfTrue="1" operator="equal">
      <formula>"Dimensionamento Conforme"</formula>
    </cfRule>
    <cfRule type="cellIs" dxfId="358" priority="511" stopIfTrue="1" operator="equal">
      <formula>"ATENÇÃO: Valor Superior ao Permitido"</formula>
    </cfRule>
  </conditionalFormatting>
  <conditionalFormatting sqref="AJ18 AL18">
    <cfRule type="cellIs" dxfId="357" priority="512" stopIfTrue="1" operator="equal">
      <formula>"Dimensionamento Conforme"</formula>
    </cfRule>
    <cfRule type="cellIs" dxfId="356" priority="513" stopIfTrue="1" operator="equal">
      <formula>"ATENÇÃO: Valor Superior ao Permitido"</formula>
    </cfRule>
  </conditionalFormatting>
  <conditionalFormatting sqref="Q9">
    <cfRule type="cellIs" dxfId="355" priority="514" stopIfTrue="1" operator="equal">
      <formula>"Atenção: Espaçamento superior ao permitido"</formula>
    </cfRule>
  </conditionalFormatting>
  <conditionalFormatting sqref="AH57">
    <cfRule type="cellIs" dxfId="354" priority="527" stopIfTrue="1" operator="equal">
      <formula>"Atenção: O valor fixado é inferior ao mínimo exigido."</formula>
    </cfRule>
  </conditionalFormatting>
  <conditionalFormatting sqref="K46:K49">
    <cfRule type="cellIs" dxfId="353" priority="529" stopIfTrue="1" operator="notBetween">
      <formula>$J46</formula>
      <formula>-$J46</formula>
    </cfRule>
  </conditionalFormatting>
  <conditionalFormatting sqref="J21:M21">
    <cfRule type="cellIs" dxfId="352" priority="497" stopIfTrue="1" operator="equal">
      <formula>" Erro: L não pode ser inferior a h"</formula>
    </cfRule>
  </conditionalFormatting>
  <conditionalFormatting sqref="Q8">
    <cfRule type="cellIs" dxfId="351" priority="480" stopIfTrue="1" operator="equal">
      <formula>"Atenção: nº insuficiente de Sprinklers"</formula>
    </cfRule>
  </conditionalFormatting>
  <conditionalFormatting sqref="AJ25:AM49">
    <cfRule type="cellIs" dxfId="350" priority="479" stopIfTrue="1" operator="equal">
      <formula>"Conforme"</formula>
    </cfRule>
  </conditionalFormatting>
  <conditionalFormatting sqref="AO25:AQ49">
    <cfRule type="cellIs" dxfId="349" priority="478" stopIfTrue="1" operator="equal">
      <formula>"Conforme"</formula>
    </cfRule>
  </conditionalFormatting>
  <conditionalFormatting sqref="AJ25:AM49">
    <cfRule type="cellIs" dxfId="348" priority="474" stopIfTrue="1" operator="equal">
      <formula>"Redimensionar"</formula>
    </cfRule>
  </conditionalFormatting>
  <conditionalFormatting sqref="AO25:AQ49">
    <cfRule type="cellIs" dxfId="347" priority="473" stopIfTrue="1" operator="equal">
      <formula>"Redimensionar"</formula>
    </cfRule>
  </conditionalFormatting>
  <conditionalFormatting sqref="I51">
    <cfRule type="cellIs" dxfId="346" priority="472" stopIfTrue="1" operator="equal">
      <formula>"    Síntese do consumo de tubos de aço - tubagem de compressão:"</formula>
    </cfRule>
  </conditionalFormatting>
  <conditionalFormatting sqref="AL12">
    <cfRule type="cellIs" dxfId="345" priority="475" stopIfTrue="1" operator="equal">
      <formula>"Verificar Não Conformidades"</formula>
    </cfRule>
    <cfRule type="cellIs" dxfId="344" priority="476" stopIfTrue="1" operator="equal">
      <formula>"Valor(es) Superior(es) ao Permitido"</formula>
    </cfRule>
    <cfRule type="cellIs" dxfId="343" priority="477" stopIfTrue="1" operator="equal">
      <formula>"Dimensionamento Conforme"</formula>
    </cfRule>
  </conditionalFormatting>
  <conditionalFormatting sqref="AR7">
    <cfRule type="cellIs" dxfId="342" priority="413" operator="notBetween">
      <formula>$AR$6</formula>
      <formula>-$AR$6</formula>
    </cfRule>
  </conditionalFormatting>
  <conditionalFormatting sqref="W25:W49">
    <cfRule type="cellIs" dxfId="341" priority="412" stopIfTrue="1" operator="lessThan">
      <formula>CJ25</formula>
    </cfRule>
  </conditionalFormatting>
  <conditionalFormatting sqref="W26 W28 W30 W32 W34 W36 W38 W40 W42 W44 W46 W48">
    <cfRule type="cellIs" dxfId="340" priority="411" stopIfTrue="1" operator="lessThan">
      <formula>CJ26</formula>
    </cfRule>
  </conditionalFormatting>
  <conditionalFormatting sqref="W27">
    <cfRule type="cellIs" dxfId="339" priority="410" stopIfTrue="1" operator="lessThan">
      <formula>CJ27</formula>
    </cfRule>
  </conditionalFormatting>
  <conditionalFormatting sqref="W28">
    <cfRule type="cellIs" dxfId="338" priority="409" stopIfTrue="1" operator="lessThan">
      <formula>CJ28</formula>
    </cfRule>
  </conditionalFormatting>
  <conditionalFormatting sqref="W29">
    <cfRule type="cellIs" dxfId="337" priority="408" stopIfTrue="1" operator="lessThan">
      <formula>CJ29</formula>
    </cfRule>
  </conditionalFormatting>
  <conditionalFormatting sqref="W30">
    <cfRule type="cellIs" dxfId="336" priority="407" stopIfTrue="1" operator="lessThan">
      <formula>CJ30</formula>
    </cfRule>
  </conditionalFormatting>
  <conditionalFormatting sqref="W31">
    <cfRule type="cellIs" dxfId="335" priority="406" stopIfTrue="1" operator="lessThan">
      <formula>CJ31</formula>
    </cfRule>
  </conditionalFormatting>
  <conditionalFormatting sqref="W32">
    <cfRule type="cellIs" dxfId="334" priority="405" stopIfTrue="1" operator="lessThan">
      <formula>CJ32</formula>
    </cfRule>
  </conditionalFormatting>
  <conditionalFormatting sqref="W33">
    <cfRule type="cellIs" dxfId="333" priority="404" stopIfTrue="1" operator="lessThan">
      <formula>CJ33</formula>
    </cfRule>
  </conditionalFormatting>
  <conditionalFormatting sqref="W34">
    <cfRule type="cellIs" dxfId="332" priority="403" stopIfTrue="1" operator="lessThan">
      <formula>CJ34</formula>
    </cfRule>
  </conditionalFormatting>
  <conditionalFormatting sqref="W35">
    <cfRule type="cellIs" dxfId="331" priority="402" stopIfTrue="1" operator="lessThan">
      <formula>CJ35</formula>
    </cfRule>
  </conditionalFormatting>
  <conditionalFormatting sqref="W36">
    <cfRule type="cellIs" dxfId="330" priority="401" stopIfTrue="1" operator="lessThan">
      <formula>CJ36</formula>
    </cfRule>
  </conditionalFormatting>
  <conditionalFormatting sqref="W37">
    <cfRule type="cellIs" dxfId="329" priority="400" stopIfTrue="1" operator="lessThan">
      <formula>CJ37</formula>
    </cfRule>
  </conditionalFormatting>
  <conditionalFormatting sqref="W38">
    <cfRule type="cellIs" dxfId="328" priority="399" stopIfTrue="1" operator="lessThan">
      <formula>CJ38</formula>
    </cfRule>
  </conditionalFormatting>
  <conditionalFormatting sqref="W39">
    <cfRule type="cellIs" dxfId="327" priority="398" stopIfTrue="1" operator="lessThan">
      <formula>CJ39</formula>
    </cfRule>
  </conditionalFormatting>
  <conditionalFormatting sqref="W40">
    <cfRule type="cellIs" dxfId="326" priority="397" stopIfTrue="1" operator="lessThan">
      <formula>CJ40</formula>
    </cfRule>
  </conditionalFormatting>
  <conditionalFormatting sqref="W41">
    <cfRule type="cellIs" dxfId="325" priority="396" stopIfTrue="1" operator="lessThan">
      <formula>CJ41</formula>
    </cfRule>
  </conditionalFormatting>
  <conditionalFormatting sqref="W42">
    <cfRule type="cellIs" dxfId="324" priority="395" stopIfTrue="1" operator="lessThan">
      <formula>CJ42</formula>
    </cfRule>
  </conditionalFormatting>
  <conditionalFormatting sqref="W43">
    <cfRule type="cellIs" dxfId="323" priority="394" stopIfTrue="1" operator="lessThan">
      <formula>CJ43</formula>
    </cfRule>
  </conditionalFormatting>
  <conditionalFormatting sqref="W44">
    <cfRule type="cellIs" dxfId="322" priority="393" stopIfTrue="1" operator="lessThan">
      <formula>CJ44</formula>
    </cfRule>
  </conditionalFormatting>
  <conditionalFormatting sqref="W45">
    <cfRule type="cellIs" dxfId="321" priority="392" stopIfTrue="1" operator="lessThan">
      <formula>CJ45</formula>
    </cfRule>
  </conditionalFormatting>
  <conditionalFormatting sqref="W46">
    <cfRule type="cellIs" dxfId="320" priority="391" stopIfTrue="1" operator="lessThan">
      <formula>CJ46</formula>
    </cfRule>
  </conditionalFormatting>
  <conditionalFormatting sqref="W47">
    <cfRule type="cellIs" dxfId="319" priority="390" stopIfTrue="1" operator="lessThan">
      <formula>CJ47</formula>
    </cfRule>
  </conditionalFormatting>
  <conditionalFormatting sqref="W48">
    <cfRule type="cellIs" dxfId="318" priority="389" stopIfTrue="1" operator="lessThan">
      <formula>CJ48</formula>
    </cfRule>
  </conditionalFormatting>
  <conditionalFormatting sqref="W49">
    <cfRule type="cellIs" dxfId="317" priority="388" stopIfTrue="1" operator="lessThan">
      <formula>CJ49</formula>
    </cfRule>
  </conditionalFormatting>
  <conditionalFormatting sqref="K25:K45">
    <cfRule type="cellIs" dxfId="316" priority="387" stopIfTrue="1" operator="notBetween">
      <formula>$J25</formula>
      <formula>-$J25</formula>
    </cfRule>
  </conditionalFormatting>
  <conditionalFormatting sqref="R26">
    <cfRule type="cellIs" dxfId="315" priority="384" operator="lessThan">
      <formula>AT26</formula>
    </cfRule>
  </conditionalFormatting>
  <conditionalFormatting sqref="R27">
    <cfRule type="cellIs" dxfId="314" priority="383" operator="lessThan">
      <formula>AT27</formula>
    </cfRule>
  </conditionalFormatting>
  <conditionalFormatting sqref="R25:R28">
    <cfRule type="cellIs" dxfId="313" priority="382" operator="lessThan">
      <formula>AT25</formula>
    </cfRule>
  </conditionalFormatting>
  <conditionalFormatting sqref="R29">
    <cfRule type="cellIs" dxfId="312" priority="381" operator="lessThan">
      <formula>AT29</formula>
    </cfRule>
  </conditionalFormatting>
  <conditionalFormatting sqref="R25:R49">
    <cfRule type="cellIs" dxfId="311" priority="380" operator="lessThan">
      <formula>AT25</formula>
    </cfRule>
  </conditionalFormatting>
  <conditionalFormatting sqref="R25:R49">
    <cfRule type="cellIs" dxfId="310" priority="377" operator="lessThan">
      <formula>AT25</formula>
    </cfRule>
  </conditionalFormatting>
  <conditionalFormatting sqref="R25:R49">
    <cfRule type="cellIs" dxfId="309" priority="376" operator="lessThan">
      <formula>AT25</formula>
    </cfRule>
  </conditionalFormatting>
  <conditionalFormatting sqref="R35">
    <cfRule type="cellIs" dxfId="308" priority="375" operator="lessThan">
      <formula>AT35</formula>
    </cfRule>
  </conditionalFormatting>
  <conditionalFormatting sqref="R36">
    <cfRule type="cellIs" dxfId="307" priority="374" operator="lessThan">
      <formula>AT36</formula>
    </cfRule>
  </conditionalFormatting>
  <conditionalFormatting sqref="R37:R49">
    <cfRule type="cellIs" dxfId="306" priority="373" operator="lessThan">
      <formula>AT37</formula>
    </cfRule>
  </conditionalFormatting>
  <conditionalFormatting sqref="R39:R49">
    <cfRule type="cellIs" dxfId="305" priority="371" operator="lessThan">
      <formula>AT39</formula>
    </cfRule>
  </conditionalFormatting>
  <conditionalFormatting sqref="R40">
    <cfRule type="cellIs" dxfId="304" priority="370" operator="lessThan">
      <formula>AT40</formula>
    </cfRule>
  </conditionalFormatting>
  <conditionalFormatting sqref="R41">
    <cfRule type="cellIs" dxfId="303" priority="369" operator="lessThan">
      <formula>AT41</formula>
    </cfRule>
  </conditionalFormatting>
  <conditionalFormatting sqref="R42">
    <cfRule type="cellIs" dxfId="302" priority="368" operator="lessThan">
      <formula>AT42</formula>
    </cfRule>
  </conditionalFormatting>
  <conditionalFormatting sqref="R43">
    <cfRule type="cellIs" dxfId="301" priority="367" operator="lessThan">
      <formula>AT43</formula>
    </cfRule>
  </conditionalFormatting>
  <conditionalFormatting sqref="R45">
    <cfRule type="cellIs" dxfId="300" priority="365" operator="lessThan">
      <formula>AT45</formula>
    </cfRule>
  </conditionalFormatting>
  <conditionalFormatting sqref="R46">
    <cfRule type="cellIs" dxfId="299" priority="364" operator="lessThan">
      <formula>AT46</formula>
    </cfRule>
  </conditionalFormatting>
  <conditionalFormatting sqref="R47">
    <cfRule type="cellIs" dxfId="298" priority="363" operator="lessThan">
      <formula>AT47</formula>
    </cfRule>
  </conditionalFormatting>
  <conditionalFormatting sqref="R48">
    <cfRule type="cellIs" dxfId="297" priority="362" operator="lessThan">
      <formula>AT48</formula>
    </cfRule>
  </conditionalFormatting>
  <conditionalFormatting sqref="R49">
    <cfRule type="cellIs" dxfId="296" priority="361" operator="lessThan">
      <formula>AT49</formula>
    </cfRule>
  </conditionalFormatting>
  <conditionalFormatting sqref="E6:L16">
    <cfRule type="expression" dxfId="295" priority="360">
      <formula>AND(CELL("lin")=ROW(),CELL("col")&gt;=5,CELL("col")&lt;=18)</formula>
    </cfRule>
  </conditionalFormatting>
  <conditionalFormatting sqref="AB6:AI8">
    <cfRule type="expression" dxfId="294" priority="359">
      <formula>AND(CELL("lin")=ROW(),CELL("col")&gt;=28,CELL("col")&lt;=37)</formula>
    </cfRule>
  </conditionalFormatting>
  <conditionalFormatting sqref="AD18:AI18">
    <cfRule type="expression" dxfId="293" priority="358">
      <formula>AND(CELL("lin")=ROW(),CELL("col")&gt;=28,CELL("col")&lt;=37)</formula>
    </cfRule>
  </conditionalFormatting>
  <conditionalFormatting sqref="AB5:AI5">
    <cfRule type="expression" dxfId="292" priority="357">
      <formula>AND(CELL("lin")=ROW(),CELL("col")&gt;=28,CELL("col")&lt;=35)</formula>
    </cfRule>
  </conditionalFormatting>
  <conditionalFormatting sqref="AB9:AI15">
    <cfRule type="expression" dxfId="291" priority="356">
      <formula>AND(CELL("lin")=ROW(),CELL("col")&gt;=28,CELL("col")&lt;=35)</formula>
    </cfRule>
  </conditionalFormatting>
  <conditionalFormatting sqref="AB16:AI16">
    <cfRule type="expression" dxfId="290" priority="355">
      <formula>AND(CELL("lin")=ROW(),CELL("col")&gt;=28,CELL("col")&lt;=37)</formula>
    </cfRule>
  </conditionalFormatting>
  <conditionalFormatting sqref="AL6:AQ8">
    <cfRule type="expression" dxfId="289" priority="354">
      <formula>AND(CELL("lin")=ROW(),CELL("col")&gt;=37,CELL("col")&lt;=44)</formula>
    </cfRule>
  </conditionalFormatting>
  <conditionalFormatting sqref="BE25:BE49 E25:E49 K36:AR42 G43:AR49 O25:O49 AI28:AM49 AI27:AI49 N26:P49 G25:AR35 Q25:Q49">
    <cfRule type="expression" dxfId="288" priority="350">
      <formula>AND(CELL("lin")=ROW(),CELL("col")=6)</formula>
    </cfRule>
  </conditionalFormatting>
  <conditionalFormatting sqref="BE25:BE49 E25:F35 E43:F49 E36:E42 K36:AR42 H43:AR49 O25:O49 AI28:AM49 AI27:AI49 N26:P49 H25:AR35 Q25:Q49">
    <cfRule type="expression" dxfId="287" priority="349">
      <formula>AND(CELL("lin")=ROW(),CELL("col")=7)</formula>
    </cfRule>
  </conditionalFormatting>
  <conditionalFormatting sqref="BE25:BE49 E25:G35 E43:G49 E36:E42 K36:AR42 I43:AR49 O25:O49 AI28:AM49 AI27:AI49 N26:P49 I25:AR35 Q25:Q49">
    <cfRule type="expression" dxfId="286" priority="348">
      <formula>AND(CELL("lin")=ROW(),CELL("col")=8)</formula>
    </cfRule>
  </conditionalFormatting>
  <conditionalFormatting sqref="BE25:BE49 E25:H35 E43:H49 E36:E42 K36:AR42 J43:AR49 O25:O49 AI28:AM49 AI27:AI49 N26:P49 J25:AR35 Q25:Q49">
    <cfRule type="expression" dxfId="285" priority="347">
      <formula>AND(CELL("lin")=ROW(),CELL("col")=9)</formula>
    </cfRule>
  </conditionalFormatting>
  <conditionalFormatting sqref="BE25:BE49 E25:I35 E43:I49 E36:E42 K25:AR49">
    <cfRule type="expression" dxfId="284" priority="346">
      <formula>AND(CELL("lin")=ROW(),CELL("col")=10)</formula>
    </cfRule>
  </conditionalFormatting>
  <conditionalFormatting sqref="BE25:BE49 E25:J35 E43:J49 E36:E42 L25:AR49">
    <cfRule type="expression" dxfId="283" priority="345">
      <formula>AND(CELL("lin")=ROW(),CELL("col")=11)</formula>
    </cfRule>
  </conditionalFormatting>
  <conditionalFormatting sqref="BE25:BE49 E36:E42 K36:S42 E43:S49 O25:O49 W25:AR49 N26:P49 E25:S35 Q25:Q49">
    <cfRule type="expression" dxfId="282" priority="344">
      <formula>AND(CELL("lin")=ROW(),CELL("col")=21)</formula>
    </cfRule>
  </conditionalFormatting>
  <conditionalFormatting sqref="BE25:BE49 E36:E42 K36:AQ42 E43:AQ49 O25:O49 AI28:AM49 AI27:AI49 N26:P49 E25:AQ35 Q25:Q49">
    <cfRule type="expression" dxfId="281" priority="343">
      <formula>AND(CELL("lin")=ROW(),CELL("col")=44)</formula>
    </cfRule>
  </conditionalFormatting>
  <conditionalFormatting sqref="BE25:BE49 E36:E42 K36:AR42 E43:AR49 O25:O49 AI28:AM49 AI27:AI49 N26:P49 E25:AR35 Q25:Q49">
    <cfRule type="expression" dxfId="280" priority="341">
      <formula>AND(CELL("lin")=ROW(),CELL("col")&gt;21,CELL("col")&lt;44)</formula>
    </cfRule>
    <cfRule type="expression" dxfId="279" priority="342">
      <formula>AND(CELL("lin")=ROW(),CELL("col")&gt;11,CELL("col")&lt;21)</formula>
    </cfRule>
  </conditionalFormatting>
  <conditionalFormatting sqref="E21:AC21 AH22:AR22 AH24:AR24 AH23:AJ23 AN21:AR21 AE21 E22:AG24 AN23:AO23 AR23">
    <cfRule type="expression" dxfId="278" priority="340">
      <formula>AND(CELL("col")=COLUMN(),CELL("lin")&gt;=25,CELL("lin")&lt;=49)</formula>
    </cfRule>
  </conditionalFormatting>
  <conditionalFormatting sqref="P6:P14">
    <cfRule type="expression" dxfId="277" priority="338">
      <formula>AND(CELL("lin")=ROW(),CELL("col")&gt;=6,CELL("col")&lt;=18)</formula>
    </cfRule>
  </conditionalFormatting>
  <conditionalFormatting sqref="P16">
    <cfRule type="expression" dxfId="276" priority="336">
      <formula>AND(CELL("lin")=ROW(),CELL("col")&gt;=6,CELL("col")&lt;=18)</formula>
    </cfRule>
  </conditionalFormatting>
  <conditionalFormatting sqref="P15:W15">
    <cfRule type="expression" dxfId="275" priority="335">
      <formula>AND(CELL("lin")=ROW(),CELL("col")&gt;=6,CELL("col")&lt;=18)</formula>
    </cfRule>
  </conditionalFormatting>
  <conditionalFormatting sqref="AL5:AR5">
    <cfRule type="expression" dxfId="274" priority="334">
      <formula>AND(CELL("lin")=ROW(),CELL("col")&gt;=37,CELL("col")&lt;=45)</formula>
    </cfRule>
  </conditionalFormatting>
  <conditionalFormatting sqref="AL9:AR10">
    <cfRule type="expression" dxfId="273" priority="333">
      <formula>AND(CELL("lin")=ROW(),CELL("col")&gt;=37,CELL("col")&lt;=45)</formula>
    </cfRule>
  </conditionalFormatting>
  <conditionalFormatting sqref="E5:W5">
    <cfRule type="expression" dxfId="272" priority="332">
      <formula>AND(CELL("lin")=ROW(),CELL("col")&gt;=5,CELL("col")&lt;=18)</formula>
    </cfRule>
  </conditionalFormatting>
  <conditionalFormatting sqref="AC25:AC49">
    <cfRule type="cellIs" dxfId="271" priority="331" operator="equal">
      <formula>MAX($AC$25:$AC$49)</formula>
    </cfRule>
  </conditionalFormatting>
  <conditionalFormatting sqref="AD25:AD49">
    <cfRule type="cellIs" dxfId="270" priority="330" operator="equal">
      <formula>MIN($AD$25:$AD$49)</formula>
    </cfRule>
  </conditionalFormatting>
  <conditionalFormatting sqref="R44">
    <cfRule type="cellIs" dxfId="269" priority="329" operator="lessThan">
      <formula>AT44</formula>
    </cfRule>
  </conditionalFormatting>
  <conditionalFormatting sqref="R38">
    <cfRule type="cellIs" dxfId="268" priority="328" operator="lessThan">
      <formula>AT38</formula>
    </cfRule>
  </conditionalFormatting>
  <conditionalFormatting sqref="H25:H35 H43:H49">
    <cfRule type="cellIs" dxfId="267" priority="327" operator="greaterThan">
      <formula>$AU$6</formula>
    </cfRule>
  </conditionalFormatting>
  <conditionalFormatting sqref="AL12:AR12">
    <cfRule type="cellIs" dxfId="266" priority="1" operator="equal">
      <formula>"Erros na codificação dos troços"</formula>
    </cfRule>
    <cfRule type="cellIs" dxfId="265" priority="302" operator="equal">
      <formula>"Introdução de dados em curso"</formula>
    </cfRule>
  </conditionalFormatting>
  <conditionalFormatting sqref="I25">
    <cfRule type="expression" dxfId="264" priority="136">
      <formula>AND($G$25&lt;&gt;"",$F$25&lt;&gt;"",$H$25&lt;&gt;"",$I$25="",$J$25&lt;&gt;"")</formula>
    </cfRule>
    <cfRule type="expression" dxfId="263" priority="234">
      <formula>AND($I$25&lt;&gt;"",$I$25&lt;$H$25)</formula>
    </cfRule>
  </conditionalFormatting>
  <conditionalFormatting sqref="I26">
    <cfRule type="expression" dxfId="262" priority="111">
      <formula>AND($G$26&lt;&gt;"",$F$26&lt;&gt;"",$H$26&lt;&gt;"",$I$26="",$J$26&lt;&gt;"")</formula>
    </cfRule>
    <cfRule type="expression" dxfId="261" priority="233">
      <formula>AND($I$26&lt;&gt;"",$I$26&lt;$H$26)</formula>
    </cfRule>
  </conditionalFormatting>
  <conditionalFormatting sqref="I27">
    <cfRule type="expression" dxfId="260" priority="110">
      <formula>AND($G$27&lt;&gt;"",$F$27&lt;&gt;"",$H$27&lt;&gt;"",$I$27="",$J$27&lt;&gt;"")</formula>
    </cfRule>
    <cfRule type="expression" dxfId="259" priority="232">
      <formula>AND($I$27&lt;&gt;"",$I$27&lt;$H$27)</formula>
    </cfRule>
  </conditionalFormatting>
  <conditionalFormatting sqref="I28">
    <cfRule type="expression" dxfId="258" priority="109">
      <formula>AND($G$28&lt;&gt;"",$F$28&lt;&gt;"",$H$28&lt;&gt;"",$I$28="",$J$28&lt;&gt;"")</formula>
    </cfRule>
    <cfRule type="expression" dxfId="257" priority="231">
      <formula>AND($I$28&lt;&gt;"",$I$28&lt;$H$28)</formula>
    </cfRule>
  </conditionalFormatting>
  <conditionalFormatting sqref="I29">
    <cfRule type="expression" dxfId="256" priority="108">
      <formula>AND($G$29&lt;&gt;"",$F$29&lt;&gt;"",$H$29&lt;&gt;"",$I$29="",$J$29&lt;&gt;"")</formula>
    </cfRule>
    <cfRule type="expression" dxfId="255" priority="230">
      <formula>AND($I$29&lt;&gt;"",$I$29&lt;$H$29)</formula>
    </cfRule>
  </conditionalFormatting>
  <conditionalFormatting sqref="I30">
    <cfRule type="expression" dxfId="254" priority="107">
      <formula>AND($G$30&lt;&gt;"",$F$30&lt;&gt;"",$H$30&lt;&gt;"",$I$30="",$J$30&lt;&gt;"")</formula>
    </cfRule>
    <cfRule type="expression" dxfId="253" priority="229">
      <formula>AND($I$30&lt;&gt;"",$I$30&lt;$H$30)</formula>
    </cfRule>
  </conditionalFormatting>
  <conditionalFormatting sqref="I31">
    <cfRule type="expression" dxfId="252" priority="106">
      <formula>AND($G$31&lt;&gt;"",$F$31&lt;&gt;"",$H$31&lt;&gt;"",$I$31="",$J$31&lt;&gt;"")</formula>
    </cfRule>
    <cfRule type="expression" dxfId="251" priority="228">
      <formula>AND($I$31&lt;&gt;"",$I$31&lt;$H$31)</formula>
    </cfRule>
  </conditionalFormatting>
  <conditionalFormatting sqref="I32">
    <cfRule type="expression" dxfId="250" priority="105">
      <formula>AND($G$32&lt;&gt;"",$F$32&lt;&gt;"",$H$32&lt;&gt;"",$I$32="",$J$32&lt;&gt;"")</formula>
    </cfRule>
    <cfRule type="expression" dxfId="249" priority="227">
      <formula>AND($I$32&lt;&gt;"",$I$32&lt;$H$32)</formula>
    </cfRule>
  </conditionalFormatting>
  <conditionalFormatting sqref="I33">
    <cfRule type="expression" dxfId="248" priority="104">
      <formula>AND($G$33&lt;&gt;"",$F$33&lt;&gt;"",$H$33&lt;&gt;"",$I$33="",$J$33&lt;&gt;"")</formula>
    </cfRule>
    <cfRule type="expression" dxfId="247" priority="226">
      <formula>AND($I$33&lt;&gt;"",$I$33&lt;$H$33)</formula>
    </cfRule>
  </conditionalFormatting>
  <conditionalFormatting sqref="I34">
    <cfRule type="expression" dxfId="246" priority="103">
      <formula>AND($G$34&lt;&gt;"",$F$34&lt;&gt;"",$H$34&lt;&gt;"",$I$34="",$J$34&lt;&gt;"")</formula>
    </cfRule>
    <cfRule type="expression" dxfId="245" priority="225">
      <formula>AND($I$34&lt;&gt;"",$I$34&lt;$H$34)</formula>
    </cfRule>
  </conditionalFormatting>
  <conditionalFormatting sqref="I35">
    <cfRule type="expression" dxfId="244" priority="102">
      <formula>AND($G$35&lt;&gt;"",$F$35&lt;&gt;"",$H$35&lt;&gt;"",$I$35="",$J$35&lt;&gt;"")</formula>
    </cfRule>
    <cfRule type="expression" dxfId="243" priority="224">
      <formula>AND($I$35&lt;&gt;"",$I$35&lt;$H$35)</formula>
    </cfRule>
  </conditionalFormatting>
  <conditionalFormatting sqref="I43">
    <cfRule type="expression" dxfId="242" priority="94">
      <formula>AND($G$43&lt;&gt;"",$F$43&lt;&gt;"",$H$43&lt;&gt;"",$I$43="",$J$43&lt;&gt;"")</formula>
    </cfRule>
    <cfRule type="expression" dxfId="241" priority="220">
      <formula>AND($I$43&lt;&gt;"",$I$43&lt;$H$43)</formula>
    </cfRule>
  </conditionalFormatting>
  <conditionalFormatting sqref="I44">
    <cfRule type="expression" dxfId="240" priority="93">
      <formula>AND($G$44&lt;&gt;"",$F$44&lt;&gt;"",$H$44&lt;&gt;"",$I$44="",$J$44&lt;&gt;"")</formula>
    </cfRule>
    <cfRule type="expression" dxfId="239" priority="219">
      <formula>AND($I$44&lt;&gt;"",$I$44&lt;$H$44)</formula>
    </cfRule>
  </conditionalFormatting>
  <conditionalFormatting sqref="I45">
    <cfRule type="expression" dxfId="238" priority="92">
      <formula>AND($G$45&lt;&gt;"",$F$45&lt;&gt;"",$H$45&lt;&gt;"",$I$45="",$J$45&lt;&gt;"")</formula>
    </cfRule>
    <cfRule type="expression" dxfId="237" priority="218">
      <formula>AND($I$45&lt;&gt;"",$I$45&lt;$H$45)</formula>
    </cfRule>
  </conditionalFormatting>
  <conditionalFormatting sqref="I46">
    <cfRule type="expression" dxfId="236" priority="91">
      <formula>AND($G$46&lt;&gt;"",$F$46&lt;&gt;"",$H$46&lt;&gt;"",$I$46="",$J$46&lt;&gt;"")</formula>
    </cfRule>
    <cfRule type="expression" dxfId="235" priority="217">
      <formula>AND($I$46&lt;&gt;"",$I$46&lt;$H$46)</formula>
    </cfRule>
  </conditionalFormatting>
  <conditionalFormatting sqref="I47">
    <cfRule type="expression" dxfId="234" priority="90">
      <formula>AND($G$47&lt;&gt;"",$F$47&lt;&gt;"",$H$47&lt;&gt;"",$I$47="",$J$47&lt;&gt;"")</formula>
    </cfRule>
    <cfRule type="expression" dxfId="233" priority="216">
      <formula>AND($I$47&lt;&gt;"",$I$47&lt;$H$47)</formula>
    </cfRule>
  </conditionalFormatting>
  <conditionalFormatting sqref="I48">
    <cfRule type="expression" dxfId="232" priority="89">
      <formula>AND($G$48&lt;&gt;"",$F$48&lt;&gt;"",$H$48&lt;&gt;"",$I$48="",$J$48&lt;&gt;"")</formula>
    </cfRule>
    <cfRule type="expression" dxfId="231" priority="215">
      <formula>AND($I$48&lt;&gt;"",$I$48&lt;$H$48)</formula>
    </cfRule>
  </conditionalFormatting>
  <conditionalFormatting sqref="I49">
    <cfRule type="expression" dxfId="230" priority="88">
      <formula>AND($G$49&lt;&gt;"",$F$49&lt;&gt;"",$H$49&lt;&gt;"",$I$49="",$J$49&lt;&gt;"")</formula>
    </cfRule>
    <cfRule type="expression" dxfId="229" priority="214">
      <formula>AND($I$49&lt;&gt;"",$I$49&lt;$H$49)</formula>
    </cfRule>
  </conditionalFormatting>
  <conditionalFormatting sqref="F25">
    <cfRule type="expression" dxfId="228" priority="213">
      <formula>AND(F25="",OR($G$25&lt;&gt;"",$H$25&lt;&gt;"",$I$25&lt;&gt;"",$J$25&lt;&gt;""))</formula>
    </cfRule>
  </conditionalFormatting>
  <conditionalFormatting sqref="F26">
    <cfRule type="expression" dxfId="227" priority="212">
      <formula>AND(F26="",OR($G$26&lt;&gt;"",$H$26&lt;&gt;"",$I$26&lt;&gt;"",$J$26&lt;&gt;""))</formula>
    </cfRule>
  </conditionalFormatting>
  <conditionalFormatting sqref="F27">
    <cfRule type="expression" dxfId="226" priority="211">
      <formula>AND(F27="",OR($G$27&lt;&gt;"",$H$27&lt;&gt;"",$I$27&lt;&gt;"",$J$27&lt;&gt;""))</formula>
    </cfRule>
  </conditionalFormatting>
  <conditionalFormatting sqref="F28">
    <cfRule type="expression" dxfId="225" priority="210">
      <formula>AND(F28="",OR($G$28&lt;&gt;"",$H$28&lt;&gt;"",$I$28&lt;&gt;"",$J$28&lt;&gt;""))</formula>
    </cfRule>
  </conditionalFormatting>
  <conditionalFormatting sqref="F29">
    <cfRule type="expression" dxfId="224" priority="209">
      <formula>AND(F29="",OR($G$29&lt;&gt;"",$H$29&lt;&gt;"",$I$29&lt;&gt;"",$J$29&lt;&gt;""))</formula>
    </cfRule>
  </conditionalFormatting>
  <conditionalFormatting sqref="F30">
    <cfRule type="expression" dxfId="223" priority="208">
      <formula>AND(F30="",OR($G$30&lt;&gt;"",$H$30&lt;&gt;"",$I$30&lt;&gt;"",$J$30&lt;&gt;""))</formula>
    </cfRule>
  </conditionalFormatting>
  <conditionalFormatting sqref="F31">
    <cfRule type="expression" dxfId="222" priority="207">
      <formula>AND(F31="",OR($G$31&lt;&gt;"",$H$31&lt;&gt;"",$I$31&lt;&gt;"",$J$31&lt;&gt;""))</formula>
    </cfRule>
  </conditionalFormatting>
  <conditionalFormatting sqref="F32">
    <cfRule type="expression" dxfId="221" priority="206">
      <formula>AND(F32="",OR($G$32&lt;&gt;"",$H$32&lt;&gt;"",$I$32&lt;&gt;"",$J$32&lt;&gt;""))</formula>
    </cfRule>
  </conditionalFormatting>
  <conditionalFormatting sqref="F33">
    <cfRule type="expression" dxfId="220" priority="205">
      <formula>AND(F33="",OR($G$33&lt;&gt;"",$H$33&lt;&gt;"",$I$33&lt;&gt;"",$J$33&lt;&gt;""))</formula>
    </cfRule>
  </conditionalFormatting>
  <conditionalFormatting sqref="F34">
    <cfRule type="expression" dxfId="219" priority="204">
      <formula>AND(F34="",OR($G$34&lt;&gt;"",$H$34&lt;&gt;"",$I$34&lt;&gt;"",$J$34&lt;&gt;""))</formula>
    </cfRule>
  </conditionalFormatting>
  <conditionalFormatting sqref="F35">
    <cfRule type="expression" dxfId="218" priority="203">
      <formula>AND(F35="",OR($G$35&lt;&gt;"",$H$35&lt;&gt;"",$I$35&lt;&gt;"",$J$35&lt;&gt;""))</formula>
    </cfRule>
  </conditionalFormatting>
  <conditionalFormatting sqref="F43">
    <cfRule type="expression" dxfId="217" priority="195">
      <formula>AND(F43="",OR($G$43&lt;&gt;"",$H$43&lt;&gt;"",$I$43&lt;&gt;"",$J$43&lt;&gt;""))</formula>
    </cfRule>
  </conditionalFormatting>
  <conditionalFormatting sqref="F44">
    <cfRule type="expression" dxfId="216" priority="194">
      <formula>AND(F44="",OR($G$44&lt;&gt;"",$H$44&lt;&gt;"",$I$44&lt;&gt;"",$J$44&lt;&gt;""))</formula>
    </cfRule>
  </conditionalFormatting>
  <conditionalFormatting sqref="F45">
    <cfRule type="expression" dxfId="215" priority="193">
      <formula>AND(F45="",OR($G$45&lt;&gt;"",$H$45&lt;&gt;"",$I$45&lt;&gt;"",$J$45&lt;&gt;""))</formula>
    </cfRule>
  </conditionalFormatting>
  <conditionalFormatting sqref="F46">
    <cfRule type="expression" dxfId="214" priority="192">
      <formula>AND(F46="",OR($G$46&lt;&gt;"",$H$46&lt;&gt;"",$I$46&lt;&gt;"",$J$46&lt;&gt;""))</formula>
    </cfRule>
  </conditionalFormatting>
  <conditionalFormatting sqref="F47">
    <cfRule type="expression" dxfId="213" priority="191">
      <formula>AND(F47="",OR($G$47&lt;&gt;"",$H$47&lt;&gt;"",$I$47&lt;&gt;"",$J$47&lt;&gt;""))</formula>
    </cfRule>
  </conditionalFormatting>
  <conditionalFormatting sqref="F48">
    <cfRule type="expression" dxfId="212" priority="190">
      <formula>AND(F48="",OR($G$48&lt;&gt;"",$H$48&lt;&gt;"",$I$48&lt;&gt;"",$J$48&lt;&gt;""))</formula>
    </cfRule>
  </conditionalFormatting>
  <conditionalFormatting sqref="F49">
    <cfRule type="expression" dxfId="211" priority="189">
      <formula>AND(F49="",OR($G$49&lt;&gt;"",$H$49&lt;&gt;"",$I$49&lt;&gt;"",$J$49&lt;&gt;""))</formula>
    </cfRule>
  </conditionalFormatting>
  <conditionalFormatting sqref="G25">
    <cfRule type="expression" dxfId="210" priority="187">
      <formula>AND($G$25="",$F$25&lt;&gt;"",$H$25&lt;&gt;"")</formula>
    </cfRule>
  </conditionalFormatting>
  <conditionalFormatting sqref="G26">
    <cfRule type="expression" dxfId="209" priority="186">
      <formula>AND($G$26="",$F$26&lt;&gt;"",$H$26&lt;&gt;"")</formula>
    </cfRule>
  </conditionalFormatting>
  <conditionalFormatting sqref="G27">
    <cfRule type="expression" dxfId="208" priority="185">
      <formula>AND($G$27="",$F$27&lt;&gt;"",$H$27&lt;&gt;"")</formula>
    </cfRule>
  </conditionalFormatting>
  <conditionalFormatting sqref="G28">
    <cfRule type="expression" dxfId="207" priority="184">
      <formula>AND($G$28="",$F$28&lt;&gt;"",$H$28&lt;&gt;"")</formula>
    </cfRule>
  </conditionalFormatting>
  <conditionalFormatting sqref="G29">
    <cfRule type="expression" dxfId="206" priority="183">
      <formula>AND($G$29="",$F$29&lt;&gt;"",$H$29&lt;&gt;"")</formula>
    </cfRule>
  </conditionalFormatting>
  <conditionalFormatting sqref="G30">
    <cfRule type="expression" dxfId="205" priority="182">
      <formula>AND($G$30="",$F$30&lt;&gt;"",$H$30&lt;&gt;"")</formula>
    </cfRule>
  </conditionalFormatting>
  <conditionalFormatting sqref="G31">
    <cfRule type="expression" dxfId="204" priority="181">
      <formula>AND($G$31="",$F$31&lt;&gt;"",$H$31&lt;&gt;"")</formula>
    </cfRule>
  </conditionalFormatting>
  <conditionalFormatting sqref="G32">
    <cfRule type="expression" dxfId="203" priority="180">
      <formula>AND($G$32="",$F$32&lt;&gt;"",$H$32&lt;&gt;"")</formula>
    </cfRule>
  </conditionalFormatting>
  <conditionalFormatting sqref="G33">
    <cfRule type="expression" dxfId="202" priority="179">
      <formula>AND($G$33="",$F$33&lt;&gt;"",$H$33&lt;&gt;"")</formula>
    </cfRule>
  </conditionalFormatting>
  <conditionalFormatting sqref="G34">
    <cfRule type="expression" dxfId="201" priority="178">
      <formula>AND($G$34="",$F$34&lt;&gt;"",$H$34&lt;&gt;"")</formula>
    </cfRule>
  </conditionalFormatting>
  <conditionalFormatting sqref="G35">
    <cfRule type="expression" dxfId="200" priority="177">
      <formula>AND($G$35="",$F$35&lt;&gt;"",$H$35&lt;&gt;"")</formula>
    </cfRule>
  </conditionalFormatting>
  <conditionalFormatting sqref="G43">
    <cfRule type="expression" dxfId="199" priority="169">
      <formula>AND($G$43="",$F$43&lt;&gt;"",$H$43&lt;&gt;"")</formula>
    </cfRule>
  </conditionalFormatting>
  <conditionalFormatting sqref="G44">
    <cfRule type="expression" dxfId="198" priority="168">
      <formula>AND($G$44="",$F$44&lt;&gt;"",$H$44&lt;&gt;"")</formula>
    </cfRule>
  </conditionalFormatting>
  <conditionalFormatting sqref="G45">
    <cfRule type="expression" dxfId="197" priority="167">
      <formula>AND($G$45="",$F$45&lt;&gt;"",$H$45&lt;&gt;"")</formula>
    </cfRule>
  </conditionalFormatting>
  <conditionalFormatting sqref="G46">
    <cfRule type="expression" dxfId="196" priority="166">
      <formula>AND($G$46="",$F$46&lt;&gt;"",$H$46&lt;&gt;"")</formula>
    </cfRule>
  </conditionalFormatting>
  <conditionalFormatting sqref="G47">
    <cfRule type="expression" dxfId="195" priority="165">
      <formula>AND($G$47="",$F$47&lt;&gt;"",$H$47&lt;&gt;"")</formula>
    </cfRule>
  </conditionalFormatting>
  <conditionalFormatting sqref="G48">
    <cfRule type="expression" dxfId="194" priority="164">
      <formula>AND($G$48="",$F$48&lt;&gt;"",$H$48&lt;&gt;"")</formula>
    </cfRule>
  </conditionalFormatting>
  <conditionalFormatting sqref="G49">
    <cfRule type="expression" dxfId="193" priority="163">
      <formula>AND($G$49="",$F$49&lt;&gt;"",$H$49&lt;&gt;"")</formula>
    </cfRule>
  </conditionalFormatting>
  <conditionalFormatting sqref="J25">
    <cfRule type="expression" dxfId="192" priority="162">
      <formula>AND($J$25&lt;&gt;"",$H$25="")</formula>
    </cfRule>
  </conditionalFormatting>
  <conditionalFormatting sqref="J26">
    <cfRule type="expression" dxfId="191" priority="161">
      <formula>AND($J$26&lt;&gt;"",$H$26="")</formula>
    </cfRule>
  </conditionalFormatting>
  <conditionalFormatting sqref="J27">
    <cfRule type="expression" dxfId="190" priority="160">
      <formula>AND($J$27&lt;&gt;"",$H$27="")</formula>
    </cfRule>
  </conditionalFormatting>
  <conditionalFormatting sqref="J28">
    <cfRule type="expression" dxfId="189" priority="159">
      <formula>AND($J$28&lt;&gt;"",$H$28="")</formula>
    </cfRule>
  </conditionalFormatting>
  <conditionalFormatting sqref="J29">
    <cfRule type="expression" dxfId="188" priority="158">
      <formula>AND($J$29&lt;&gt;"",$H$29="")</formula>
    </cfRule>
  </conditionalFormatting>
  <conditionalFormatting sqref="J30">
    <cfRule type="expression" dxfId="187" priority="157">
      <formula>AND($J$30&lt;&gt;"",$H$30="")</formula>
    </cfRule>
  </conditionalFormatting>
  <conditionalFormatting sqref="J31">
    <cfRule type="expression" dxfId="186" priority="156">
      <formula>AND($J$31&lt;&gt;"",$H$31="")</formula>
    </cfRule>
  </conditionalFormatting>
  <conditionalFormatting sqref="J32">
    <cfRule type="expression" dxfId="185" priority="155">
      <formula>AND($J$32&lt;&gt;"",$H$32="")</formula>
    </cfRule>
  </conditionalFormatting>
  <conditionalFormatting sqref="J33">
    <cfRule type="expression" dxfId="184" priority="154">
      <formula>AND($J$33&lt;&gt;"",$H$33="")</formula>
    </cfRule>
  </conditionalFormatting>
  <conditionalFormatting sqref="J34">
    <cfRule type="expression" dxfId="183" priority="153">
      <formula>AND($J$34&lt;&gt;"",$H$34="")</formula>
    </cfRule>
  </conditionalFormatting>
  <conditionalFormatting sqref="J35">
    <cfRule type="expression" dxfId="182" priority="152">
      <formula>AND($J$35&lt;&gt;"",$H$35="")</formula>
    </cfRule>
  </conditionalFormatting>
  <conditionalFormatting sqref="J43">
    <cfRule type="expression" dxfId="181" priority="144">
      <formula>AND($J$43&lt;&gt;"",$H$43="")</formula>
    </cfRule>
  </conditionalFormatting>
  <conditionalFormatting sqref="J44">
    <cfRule type="expression" dxfId="180" priority="143">
      <formula>AND($J$44&lt;&gt;"",$H$44="")</formula>
    </cfRule>
  </conditionalFormatting>
  <conditionalFormatting sqref="J45">
    <cfRule type="expression" dxfId="179" priority="142">
      <formula>AND($J$45&lt;&gt;"",$H$45="")</formula>
    </cfRule>
  </conditionalFormatting>
  <conditionalFormatting sqref="J46">
    <cfRule type="expression" dxfId="178" priority="141">
      <formula>AND($J$46&lt;&gt;"",$H$46="")</formula>
    </cfRule>
  </conditionalFormatting>
  <conditionalFormatting sqref="J47">
    <cfRule type="expression" dxfId="177" priority="140">
      <formula>AND($J$47&lt;&gt;"",$H$47="")</formula>
    </cfRule>
  </conditionalFormatting>
  <conditionalFormatting sqref="J48">
    <cfRule type="expression" dxfId="176" priority="139">
      <formula>AND($J$48&lt;&gt;"",$H$48="")</formula>
    </cfRule>
  </conditionalFormatting>
  <conditionalFormatting sqref="J49">
    <cfRule type="expression" dxfId="175" priority="138">
      <formula>AND($J$49&lt;&gt;"",$H$49="")</formula>
    </cfRule>
  </conditionalFormatting>
  <conditionalFormatting sqref="H25">
    <cfRule type="expression" dxfId="174" priority="137">
      <formula>AND($G$25&lt;&gt;"",$F$25&lt;&gt;"",$H$25="",$I$25&lt;&gt;"",$J$25&lt;&gt;"")</formula>
    </cfRule>
  </conditionalFormatting>
  <conditionalFormatting sqref="H26">
    <cfRule type="expression" dxfId="173" priority="135">
      <formula>AND($G$26&lt;&gt;"",$F$26&lt;&gt;"",$H$26="",$I$26&lt;&gt;"",$J$26&lt;&gt;"")</formula>
    </cfRule>
  </conditionalFormatting>
  <conditionalFormatting sqref="H27">
    <cfRule type="expression" dxfId="172" priority="134">
      <formula>AND($G$27&lt;&gt;"",$F$27&lt;&gt;"",$H$27="",$I$27&lt;&gt;"",$J$27&lt;&gt;"")</formula>
    </cfRule>
  </conditionalFormatting>
  <conditionalFormatting sqref="H28">
    <cfRule type="expression" dxfId="171" priority="133">
      <formula>AND($G$28&lt;&gt;"",$F$28&lt;&gt;"",$H$28="",$I$28&lt;&gt;"",$J$28&lt;&gt;"")</formula>
    </cfRule>
  </conditionalFormatting>
  <conditionalFormatting sqref="H29">
    <cfRule type="expression" dxfId="170" priority="132">
      <formula>AND($G$29&lt;&gt;"",$F$29&lt;&gt;"",$H$29="",$I$29&lt;&gt;"",$J$29&lt;&gt;"")</formula>
    </cfRule>
  </conditionalFormatting>
  <conditionalFormatting sqref="H30">
    <cfRule type="expression" dxfId="169" priority="131">
      <formula>AND($G$30&lt;&gt;"",$F$30&lt;&gt;"",$H$30="",$I$30&lt;&gt;"",$J$30&lt;&gt;"")</formula>
    </cfRule>
  </conditionalFormatting>
  <conditionalFormatting sqref="H31">
    <cfRule type="expression" dxfId="168" priority="130">
      <formula>AND($G$31&lt;&gt;"",$F$31&lt;&gt;"",$H$31="",$I$31&lt;&gt;"",$J$31&lt;&gt;"")</formula>
    </cfRule>
  </conditionalFormatting>
  <conditionalFormatting sqref="H32">
    <cfRule type="expression" dxfId="167" priority="129">
      <formula>AND($G$32&lt;&gt;"",$F$32&lt;&gt;"",$H$32="",$I$32&lt;&gt;"",$J$32&lt;&gt;"")</formula>
    </cfRule>
  </conditionalFormatting>
  <conditionalFormatting sqref="H33">
    <cfRule type="expression" dxfId="166" priority="128">
      <formula>AND($G$33&lt;&gt;"",$F$33&lt;&gt;"",$H$33="",$I$33&lt;&gt;"",$J$33&lt;&gt;"")</formula>
    </cfRule>
  </conditionalFormatting>
  <conditionalFormatting sqref="H34">
    <cfRule type="expression" dxfId="165" priority="127">
      <formula>AND($G$34&lt;&gt;"",$F$34&lt;&gt;"",$H$34="",$I$34&lt;&gt;"",$J$34&lt;&gt;"")</formula>
    </cfRule>
  </conditionalFormatting>
  <conditionalFormatting sqref="H35">
    <cfRule type="expression" dxfId="164" priority="126">
      <formula>AND($G$35&lt;&gt;"",$F$35&lt;&gt;"",$H$35="",$I$35&lt;&gt;"",$J$35&lt;&gt;"")</formula>
    </cfRule>
  </conditionalFormatting>
  <conditionalFormatting sqref="H43">
    <cfRule type="expression" dxfId="163" priority="118">
      <formula>AND($G$43&lt;&gt;"",$F$43&lt;&gt;"",$H$43="",$I$43&lt;&gt;"",$J$43&lt;&gt;"")</formula>
    </cfRule>
  </conditionalFormatting>
  <conditionalFormatting sqref="H44">
    <cfRule type="expression" dxfId="162" priority="117">
      <formula>AND($G$44&lt;&gt;"",$F$44&lt;&gt;"",$H$44="",$I$44&lt;&gt;"",$J$44&lt;&gt;"")</formula>
    </cfRule>
  </conditionalFormatting>
  <conditionalFormatting sqref="H45">
    <cfRule type="expression" dxfId="161" priority="116">
      <formula>AND($G$45&lt;&gt;"",$F$45&lt;&gt;"",$H$45="",$I$45&lt;&gt;"",$J$45&lt;&gt;"")</formula>
    </cfRule>
  </conditionalFormatting>
  <conditionalFormatting sqref="H46">
    <cfRule type="expression" dxfId="160" priority="115">
      <formula>AND($G$46&lt;&gt;"",$F$46&lt;&gt;"",$H$46="",$I$46&lt;&gt;"",$J$46&lt;&gt;"")</formula>
    </cfRule>
  </conditionalFormatting>
  <conditionalFormatting sqref="H47">
    <cfRule type="expression" dxfId="159" priority="114">
      <formula>AND($G$47&lt;&gt;"",$F$47&lt;&gt;"",$H$47="",$I$47&lt;&gt;"",$J$47&lt;&gt;"")</formula>
    </cfRule>
  </conditionalFormatting>
  <conditionalFormatting sqref="H48">
    <cfRule type="expression" dxfId="158" priority="113">
      <formula>AND($G$48&lt;&gt;"",$F$48&lt;&gt;"",$H$48="",$I$48&lt;&gt;"",$J$48&lt;&gt;"")</formula>
    </cfRule>
  </conditionalFormatting>
  <conditionalFormatting sqref="H49">
    <cfRule type="expression" dxfId="157" priority="112">
      <formula>AND($G$49&lt;&gt;"",$F$49&lt;&gt;"",$H$49="",$I$49&lt;&gt;"",$J$49&lt;&gt;"")</formula>
    </cfRule>
  </conditionalFormatting>
  <conditionalFormatting sqref="L26:S26 W26:AQ26 E26 N34 N42 N46 AJ27:AM27 AJ29:AM49 N32 N38 N44 AI27:AI49 O25:O49 Q25:Q49">
    <cfRule type="expression" dxfId="156" priority="87">
      <formula>AND(CELL("lin")=ROW(),CELL("col")&gt;4,CELL("col")&lt;44)</formula>
    </cfRule>
  </conditionalFormatting>
  <conditionalFormatting sqref="L25:S25 W25:AQ25 E25 AF26:AF49 P26:P49 M26:N49 AI26:AM49 O25:O49 Q25:Q49">
    <cfRule type="expression" dxfId="155" priority="86">
      <formula>AND(CELL("lin")=ROW(),CELL("col")&gt;4,CELL("col")&lt;44)</formula>
    </cfRule>
  </conditionalFormatting>
  <conditionalFormatting sqref="E27 L27:S27 W27:AQ27 N35 N43 N47 AJ30:AM30 AJ33:AM33 AJ36:AM36 AJ39:AM39 AJ42:AM42 AJ45:AM45 AJ48:AM48 AI28:AI49 N33 N39 N45 O25:O49 Q25:Q49">
    <cfRule type="expression" dxfId="154" priority="85">
      <formula>AND(CELL("lin")=ROW(),CELL("col")&gt;4,CELL("col")&lt;44)</formula>
    </cfRule>
  </conditionalFormatting>
  <conditionalFormatting sqref="E28 L28:S28 W28:AQ28 N36 N44 N48 AI36 AI40 AI32:AI33 AI38 AI43:AI44 AI48 N34 N40 N46 R25:R27 O25:O49 Q25:Q49">
    <cfRule type="expression" dxfId="153" priority="84">
      <formula>AND(CELL("lin")=ROW(),CELL("col")&gt;4,CELL("col")&lt;44)</formula>
    </cfRule>
  </conditionalFormatting>
  <conditionalFormatting sqref="E29 L29:S29 W29:AQ29 O47 AI37 AI41 AI33:AI34 AI39 AI44:AI45 AI49 AJ30:AM49 N30:N49 Q25:Q49">
    <cfRule type="expression" dxfId="152" priority="83">
      <formula>AND(CELL("lin")=ROW(),CELL("col")&gt;4,CELL("col")&lt;44)</formula>
    </cfRule>
  </conditionalFormatting>
  <conditionalFormatting sqref="E30 L30:S30 W30:AQ30 N38 N36 N42 N48:O48 P31:P33 Q25:Q49">
    <cfRule type="expression" dxfId="151" priority="82">
      <formula>AND(CELL("lin")=ROW(),CELL("col")&gt;4,CELL("col")&lt;44)</formula>
    </cfRule>
  </conditionalFormatting>
  <conditionalFormatting sqref="E31 L31:S31 W31:AQ31 O49 N39 P33 Q25:Q49">
    <cfRule type="expression" dxfId="150" priority="81">
      <formula>AND(CELL("lin")=ROW(),CELL("col")&gt;4,CELL("col")&lt;44)</formula>
    </cfRule>
  </conditionalFormatting>
  <conditionalFormatting sqref="E32 L32:S32 W32:AQ32 N33:N40 Q42 Q33:Q35 Q45:Q48">
    <cfRule type="expression" dxfId="149" priority="80">
      <formula>AND(CELL("lin")=ROW(),CELL("col")&gt;4,CELL("col")&lt;44)</formula>
    </cfRule>
  </conditionalFormatting>
  <conditionalFormatting sqref="E33 L33:S33 W33:AQ33 N34 Q25:Q49">
    <cfRule type="expression" dxfId="148" priority="79">
      <formula>AND(CELL("lin")=ROW(),CELL("col")&gt;4,CELL("col")&lt;44)</formula>
    </cfRule>
  </conditionalFormatting>
  <conditionalFormatting sqref="E34 L34:S34 W34:AQ34 Q25:Q49">
    <cfRule type="expression" dxfId="147" priority="78">
      <formula>AND(CELL("lin")=ROW(),CELL("col")&gt;4,CELL("col")&lt;44)</formula>
    </cfRule>
  </conditionalFormatting>
  <conditionalFormatting sqref="E35 L35:S35 W35:AQ35 Q25:Q49">
    <cfRule type="expression" dxfId="146" priority="77">
      <formula>AND(CELL("lin")=ROW(),CELL("col")&gt;4,CELL("col")&lt;44)</formula>
    </cfRule>
  </conditionalFormatting>
  <conditionalFormatting sqref="E36 L36:S36 W36:AQ36 Q25:Q49">
    <cfRule type="expression" dxfId="145" priority="76">
      <formula>AND(CELL("lin")=ROW(),CELL("col")&gt;4,CELL("col")&lt;44)</formula>
    </cfRule>
  </conditionalFormatting>
  <conditionalFormatting sqref="E37 L37:S37 W37:AQ37 Q45">
    <cfRule type="expression" dxfId="144" priority="75">
      <formula>AND(CELL("lin")=ROW(),CELL("col")&gt;4,CELL("col")&lt;44)</formula>
    </cfRule>
  </conditionalFormatting>
  <conditionalFormatting sqref="E38 L38:S38 W38:AQ38 Q46">
    <cfRule type="expression" dxfId="143" priority="74">
      <formula>AND(CELL("lin")=ROW(),CELL("col")&gt;4,CELL("col")&lt;44)</formula>
    </cfRule>
  </conditionalFormatting>
  <conditionalFormatting sqref="E39 L39:S39 W39:AQ39 Q47">
    <cfRule type="expression" dxfId="142" priority="73">
      <formula>AND(CELL("lin")=ROW(),CELL("col")&gt;4,CELL("col")&lt;44)</formula>
    </cfRule>
  </conditionalFormatting>
  <conditionalFormatting sqref="E40 L40:S40 W40:AQ40 Q48 O25:O49">
    <cfRule type="expression" dxfId="141" priority="72">
      <formula>AND(CELL("lin")=ROW(),CELL("col")&gt;4,CELL("col")&lt;44)</formula>
    </cfRule>
  </conditionalFormatting>
  <conditionalFormatting sqref="E41 L41:S41 W41:AQ41 Q49">
    <cfRule type="expression" dxfId="140" priority="71">
      <formula>AND(CELL("lin")=ROW(),CELL("col")&gt;4,CELL("col")&lt;44)</formula>
    </cfRule>
  </conditionalFormatting>
  <conditionalFormatting sqref="E42 L42:S42 W42:AQ42 Q25:Q49">
    <cfRule type="expression" dxfId="139" priority="70">
      <formula>AND(CELL("lin")=ROW(),CELL("col")&gt;4,CELL("col")&lt;44)</formula>
    </cfRule>
  </conditionalFormatting>
  <conditionalFormatting sqref="E43 L43:S43 W43:AQ43">
    <cfRule type="expression" dxfId="138" priority="69">
      <formula>AND(CELL("lin")=ROW(),CELL("col")&gt;4,CELL("col")&lt;44)</formula>
    </cfRule>
  </conditionalFormatting>
  <conditionalFormatting sqref="E44 L44:S44 W44:AQ44 Q45:Q49">
    <cfRule type="expression" dxfId="137" priority="68">
      <formula>AND(CELL("lin")=ROW(),CELL("col")&gt;4,CELL("col")&lt;44)</formula>
    </cfRule>
  </conditionalFormatting>
  <conditionalFormatting sqref="E45 L45:S45 W45:AQ45">
    <cfRule type="expression" dxfId="136" priority="67">
      <formula>AND(CELL("lin")=ROW(),CELL("col")&gt;4,CELL("col")&lt;44)</formula>
    </cfRule>
  </conditionalFormatting>
  <conditionalFormatting sqref="E46 L46:S46 W46:AQ46 O25:O49">
    <cfRule type="expression" dxfId="135" priority="66">
      <formula>AND(CELL("lin")=ROW(),CELL("col")&gt;4,CELL("col")&lt;44)</formula>
    </cfRule>
  </conditionalFormatting>
  <conditionalFormatting sqref="E47 L47:S47 W47:AQ47">
    <cfRule type="expression" dxfId="134" priority="65">
      <formula>AND(CELL("lin")=ROW(),CELL("col")&gt;4,CELL("col")&lt;44)</formula>
    </cfRule>
  </conditionalFormatting>
  <conditionalFormatting sqref="E48 L48:S48 W48:AQ48">
    <cfRule type="expression" dxfId="133" priority="64">
      <formula>AND(CELL("lin")=ROW(),CELL("col")&gt;4,CELL("col")&lt;44)</formula>
    </cfRule>
  </conditionalFormatting>
  <conditionalFormatting sqref="E49 L49:S49 W49:AQ49">
    <cfRule type="expression" dxfId="132" priority="63">
      <formula>AND(CELL("lin")=ROW(),CELL("col")&gt;4,CELL("col")&lt;44)</formula>
    </cfRule>
  </conditionalFormatting>
  <conditionalFormatting sqref="J25:J35 J43:J49">
    <cfRule type="cellIs" dxfId="131" priority="62" operator="lessThan">
      <formula>0</formula>
    </cfRule>
  </conditionalFormatting>
  <conditionalFormatting sqref="U25:U49">
    <cfRule type="cellIs" dxfId="130" priority="61" operator="lessThan">
      <formula>0</formula>
    </cfRule>
  </conditionalFormatting>
  <conditionalFormatting sqref="H25:I35 H43:I49">
    <cfRule type="cellIs" dxfId="129" priority="60" operator="lessThan">
      <formula>0</formula>
    </cfRule>
  </conditionalFormatting>
  <conditionalFormatting sqref="G36:J42">
    <cfRule type="expression" dxfId="128" priority="59">
      <formula>AND(CELL("lin")=ROW(),CELL("col")=6)</formula>
    </cfRule>
  </conditionalFormatting>
  <conditionalFormatting sqref="F36:F42 H36:J42">
    <cfRule type="expression" dxfId="127" priority="58">
      <formula>AND(CELL("lin")=ROW(),CELL("col")=7)</formula>
    </cfRule>
  </conditionalFormatting>
  <conditionalFormatting sqref="F36:G42 I36:J42">
    <cfRule type="expression" dxfId="126" priority="57">
      <formula>AND(CELL("lin")=ROW(),CELL("col")=8)</formula>
    </cfRule>
  </conditionalFormatting>
  <conditionalFormatting sqref="F36:H42 J36:J42">
    <cfRule type="expression" dxfId="125" priority="56">
      <formula>AND(CELL("lin")=ROW(),CELL("col")=9)</formula>
    </cfRule>
  </conditionalFormatting>
  <conditionalFormatting sqref="F36:I42">
    <cfRule type="expression" dxfId="124" priority="55">
      <formula>AND(CELL("lin")=ROW(),CELL("col")=10)</formula>
    </cfRule>
  </conditionalFormatting>
  <conditionalFormatting sqref="F36:J42">
    <cfRule type="expression" dxfId="123" priority="54">
      <formula>AND(CELL("lin")=ROW(),CELL("col")=11)</formula>
    </cfRule>
  </conditionalFormatting>
  <conditionalFormatting sqref="F36:J42">
    <cfRule type="expression" dxfId="122" priority="53">
      <formula>AND(CELL("lin")=ROW(),CELL("col")=21)</formula>
    </cfRule>
  </conditionalFormatting>
  <conditionalFormatting sqref="F36:J42">
    <cfRule type="expression" dxfId="121" priority="52">
      <formula>AND(CELL("lin")=ROW(),CELL("col")=44)</formula>
    </cfRule>
  </conditionalFormatting>
  <conditionalFormatting sqref="F36:J42">
    <cfRule type="expression" dxfId="120" priority="50">
      <formula>AND(CELL("lin")=ROW(),CELL("col")&gt;21,CELL("col")&lt;44)</formula>
    </cfRule>
    <cfRule type="expression" dxfId="119" priority="51">
      <formula>AND(CELL("lin")=ROW(),CELL("col")&gt;11,CELL("col")&lt;21)</formula>
    </cfRule>
  </conditionalFormatting>
  <conditionalFormatting sqref="H36:H42">
    <cfRule type="cellIs" dxfId="118" priority="49" operator="greaterThan">
      <formula>$AU$6</formula>
    </cfRule>
  </conditionalFormatting>
  <conditionalFormatting sqref="I38">
    <cfRule type="expression" dxfId="117" priority="11">
      <formula>AND($G$38&lt;&gt;"",$F$38&lt;&gt;"",$H$38&lt;&gt;"",$I$38="",$J$38&lt;&gt;"")</formula>
    </cfRule>
    <cfRule type="expression" dxfId="116" priority="48">
      <formula>AND($I$38&lt;&gt;"",$I$38&lt;$H$38)</formula>
    </cfRule>
  </conditionalFormatting>
  <conditionalFormatting sqref="I39">
    <cfRule type="expression" dxfId="115" priority="10">
      <formula>AND($G$39&lt;&gt;"",$F$39&lt;&gt;"",$H$39&lt;&gt;"",$I$39="",$J$39&lt;&gt;"")</formula>
    </cfRule>
    <cfRule type="expression" dxfId="114" priority="47">
      <formula>AND($I$39&lt;&gt;"",$I$39&lt;$H$39)</formula>
    </cfRule>
  </conditionalFormatting>
  <conditionalFormatting sqref="I40">
    <cfRule type="expression" dxfId="113" priority="9">
      <formula>AND($G$40&lt;&gt;"",$F$40&lt;&gt;"",$H$40&lt;&gt;"",$I$40="",$J$40&lt;&gt;"")</formula>
    </cfRule>
    <cfRule type="expression" dxfId="112" priority="46">
      <formula>AND($I$40&lt;&gt;"",$I$40&lt;$H$40)</formula>
    </cfRule>
  </conditionalFormatting>
  <conditionalFormatting sqref="I41">
    <cfRule type="expression" dxfId="111" priority="8">
      <formula>AND($G$41&lt;&gt;"",$F$41&lt;&gt;"",$H$41&lt;&gt;"",$I$41="",$J$41&lt;&gt;"")</formula>
    </cfRule>
    <cfRule type="expression" dxfId="110" priority="45">
      <formula>AND($I$41&lt;&gt;"",$I$41&lt;$H$41)</formula>
    </cfRule>
  </conditionalFormatting>
  <conditionalFormatting sqref="I36">
    <cfRule type="expression" dxfId="109" priority="13">
      <formula>AND($G$36&lt;&gt;"",$F$36&lt;&gt;"",$H$36&lt;&gt;"",$I$36="",$J$36&lt;&gt;"")</formula>
    </cfRule>
    <cfRule type="expression" dxfId="108" priority="44">
      <formula>AND($I$36&lt;&gt;"",$I$36&lt;$H$36)</formula>
    </cfRule>
  </conditionalFormatting>
  <conditionalFormatting sqref="I37">
    <cfRule type="expression" dxfId="107" priority="12">
      <formula>AND($G$37&lt;&gt;"",$F$37&lt;&gt;"",$H$37&lt;&gt;"",$I$37="",$J$37&lt;&gt;"")</formula>
    </cfRule>
    <cfRule type="expression" dxfId="106" priority="43">
      <formula>AND($I$37&lt;&gt;"",$I$37&lt;$H$37)</formula>
    </cfRule>
  </conditionalFormatting>
  <conditionalFormatting sqref="I42">
    <cfRule type="expression" dxfId="105" priority="7">
      <formula>AND($G$42&lt;&gt;"",$F$42&lt;&gt;"",$H$42&lt;&gt;"",$I$42="",$J$42&lt;&gt;"")</formula>
    </cfRule>
    <cfRule type="expression" dxfId="104" priority="42">
      <formula>AND($I$42&lt;&gt;"",$I$42&lt;$H$42)</formula>
    </cfRule>
  </conditionalFormatting>
  <conditionalFormatting sqref="F36">
    <cfRule type="expression" dxfId="103" priority="41">
      <formula>AND(F36="",OR($G$36&lt;&gt;"",$H$36&lt;&gt;"",$I$36&lt;&gt;"",$J$36&lt;&gt;""))</formula>
    </cfRule>
  </conditionalFormatting>
  <conditionalFormatting sqref="F37">
    <cfRule type="expression" dxfId="102" priority="40">
      <formula>AND(F37="",OR($G$37&lt;&gt;"",$H$37&lt;&gt;"",$I$37&lt;&gt;"",$J$37&lt;&gt;""))</formula>
    </cfRule>
  </conditionalFormatting>
  <conditionalFormatting sqref="F38">
    <cfRule type="expression" dxfId="101" priority="39">
      <formula>AND(F38="",OR($G$38&lt;&gt;"",$H$38&lt;&gt;"",$I$38&lt;&gt;"",$J$38&lt;&gt;""))</formula>
    </cfRule>
  </conditionalFormatting>
  <conditionalFormatting sqref="F39">
    <cfRule type="expression" dxfId="100" priority="38">
      <formula>AND(F39="",OR($G$39&lt;&gt;"",$H$39&lt;&gt;"",$I$39&lt;&gt;"",$J$39&lt;&gt;""))</formula>
    </cfRule>
  </conditionalFormatting>
  <conditionalFormatting sqref="F40">
    <cfRule type="expression" dxfId="99" priority="37">
      <formula>AND(F40="",OR($G$40&lt;&gt;"",$H$40&lt;&gt;"",$I$40&lt;&gt;"",$J$40&lt;&gt;""))</formula>
    </cfRule>
  </conditionalFormatting>
  <conditionalFormatting sqref="F41">
    <cfRule type="expression" priority="36">
      <formula>AND(F41="",OR($G$41&lt;&gt;"",$H$41&lt;&gt;"",$I$41&lt;&gt;"",$J$41&lt;&gt;""))</formula>
    </cfRule>
  </conditionalFormatting>
  <conditionalFormatting sqref="F42">
    <cfRule type="expression" dxfId="98" priority="35">
      <formula>AND(F42="",OR($G$42&lt;&gt;"",$H$42&lt;&gt;"",$I$42&lt;&gt;"",$J$42&lt;&gt;""))</formula>
    </cfRule>
  </conditionalFormatting>
  <conditionalFormatting sqref="G36">
    <cfRule type="expression" dxfId="97" priority="34">
      <formula>AND($G$36="",$F$36&lt;&gt;"",$H$36&lt;&gt;"")</formula>
    </cfRule>
  </conditionalFormatting>
  <conditionalFormatting sqref="G37">
    <cfRule type="expression" dxfId="96" priority="33">
      <formula>AND($G$37="",$F$37&lt;&gt;"",$H$37&lt;&gt;"")</formula>
    </cfRule>
  </conditionalFormatting>
  <conditionalFormatting sqref="G38">
    <cfRule type="expression" dxfId="95" priority="32">
      <formula>AND($G$38="",$F$38&lt;&gt;"",$H$38&lt;&gt;"")</formula>
    </cfRule>
  </conditionalFormatting>
  <conditionalFormatting sqref="G39">
    <cfRule type="expression" dxfId="94" priority="31">
      <formula>AND($G$39="",$F$39&lt;&gt;"",$H$39&lt;&gt;"")</formula>
    </cfRule>
  </conditionalFormatting>
  <conditionalFormatting sqref="G40">
    <cfRule type="expression" dxfId="93" priority="30">
      <formula>AND($G$40="",$F$40&lt;&gt;"",$H$40&lt;&gt;"")</formula>
    </cfRule>
  </conditionalFormatting>
  <conditionalFormatting sqref="G41">
    <cfRule type="expression" dxfId="92" priority="29">
      <formula>AND($G$41="",$F$41&lt;&gt;"",$H$41&lt;&gt;"")</formula>
    </cfRule>
  </conditionalFormatting>
  <conditionalFormatting sqref="G42">
    <cfRule type="expression" dxfId="91" priority="28">
      <formula>AND($G$42="",$F$42&lt;&gt;"",$H$42&lt;&gt;"")</formula>
    </cfRule>
  </conditionalFormatting>
  <conditionalFormatting sqref="J36">
    <cfRule type="expression" dxfId="90" priority="27">
      <formula>AND($J$36&lt;&gt;"",$H$36="")</formula>
    </cfRule>
  </conditionalFormatting>
  <conditionalFormatting sqref="J37">
    <cfRule type="expression" dxfId="89" priority="26">
      <formula>AND($J$37&lt;&gt;"",$H$37="")</formula>
    </cfRule>
  </conditionalFormatting>
  <conditionalFormatting sqref="J38">
    <cfRule type="expression" dxfId="88" priority="25">
      <formula>AND($J$38&lt;&gt;"",$H$38="")</formula>
    </cfRule>
  </conditionalFormatting>
  <conditionalFormatting sqref="J39">
    <cfRule type="expression" dxfId="87" priority="24">
      <formula>AND($J$39&lt;&gt;"",$H$39="")</formula>
    </cfRule>
  </conditionalFormatting>
  <conditionalFormatting sqref="J40">
    <cfRule type="expression" dxfId="86" priority="23">
      <formula>AND($J$40&lt;&gt;"",$H$40="")</formula>
    </cfRule>
  </conditionalFormatting>
  <conditionalFormatting sqref="J41">
    <cfRule type="expression" dxfId="85" priority="22">
      <formula>AND($J$41&lt;&gt;"",$H$41="")</formula>
    </cfRule>
  </conditionalFormatting>
  <conditionalFormatting sqref="J42">
    <cfRule type="expression" dxfId="84" priority="21">
      <formula>AND($J$42&lt;&gt;"",$H$42="")</formula>
    </cfRule>
  </conditionalFormatting>
  <conditionalFormatting sqref="H36">
    <cfRule type="expression" dxfId="83" priority="20">
      <formula>AND($G$36&lt;&gt;"",$F$36&lt;&gt;"",$H$36="",$I$36&lt;&gt;"",$J$36&lt;&gt;"")</formula>
    </cfRule>
  </conditionalFormatting>
  <conditionalFormatting sqref="H37">
    <cfRule type="expression" dxfId="82" priority="19">
      <formula>AND($G$37&lt;&gt;"",$F$37&lt;&gt;"",$H$37="",$I$37&lt;&gt;"",$J$37&lt;&gt;"")</formula>
    </cfRule>
  </conditionalFormatting>
  <conditionalFormatting sqref="H38">
    <cfRule type="expression" dxfId="81" priority="18">
      <formula>AND($G$38&lt;&gt;"",$F$38&lt;&gt;"",$H$38="",$I$38&lt;&gt;"",$J$38&lt;&gt;"")</formula>
    </cfRule>
  </conditionalFormatting>
  <conditionalFormatting sqref="H39">
    <cfRule type="expression" dxfId="80" priority="17">
      <formula>AND($G$39&lt;&gt;"",$F$39&lt;&gt;"",$H$39="",$I$39&lt;&gt;"",$J$39&lt;&gt;"")</formula>
    </cfRule>
  </conditionalFormatting>
  <conditionalFormatting sqref="H40">
    <cfRule type="expression" dxfId="79" priority="16">
      <formula>AND($G$40&lt;&gt;"",$F$40&lt;&gt;"",$H$40="",$I$40&lt;&gt;"",$J$40&lt;&gt;"")</formula>
    </cfRule>
  </conditionalFormatting>
  <conditionalFormatting sqref="H41">
    <cfRule type="expression" dxfId="78" priority="15">
      <formula>AND($G$41&lt;&gt;"",$F$41&lt;&gt;"",$H$41="",$I$41&lt;&gt;"",$J$41&lt;&gt;"")</formula>
    </cfRule>
  </conditionalFormatting>
  <conditionalFormatting sqref="H42">
    <cfRule type="expression" dxfId="77" priority="14">
      <formula>AND($G$42&lt;&gt;"",$F$42&lt;&gt;"",$H$42="",$I$42&lt;&gt;"",$J$42&lt;&gt;"")</formula>
    </cfRule>
  </conditionalFormatting>
  <conditionalFormatting sqref="J36:J42">
    <cfRule type="cellIs" dxfId="76" priority="6" operator="lessThan">
      <formula>0</formula>
    </cfRule>
  </conditionalFormatting>
  <conditionalFormatting sqref="H36:I42">
    <cfRule type="cellIs" dxfId="75" priority="5" operator="lessThan">
      <formula>0</formula>
    </cfRule>
  </conditionalFormatting>
  <conditionalFormatting sqref="AM23">
    <cfRule type="expression" dxfId="74" priority="4">
      <formula>AND(CELL("col")=(COLUMN()-3),CELL("lin")&gt;=25,CELL("lin")&lt;=49)</formula>
    </cfRule>
  </conditionalFormatting>
  <conditionalFormatting sqref="AP23">
    <cfRule type="expression" dxfId="73" priority="3">
      <formula>AND(CELL("col")=(COLUMN()-1),CELL("lin")&gt;=25,CELL("lin")&lt;=49)</formula>
    </cfRule>
  </conditionalFormatting>
  <conditionalFormatting sqref="AQ23">
    <cfRule type="expression" dxfId="72" priority="2">
      <formula>AND(CELL("col")=(COLUMN()-2),CELL("lin")&gt;=25,CELL("lin")&lt;=49)</formula>
    </cfRule>
  </conditionalFormatting>
  <pageMargins left="0.11811023622047245" right="3.937007874015748E-2" top="0.23622047244094491" bottom="0.23622047244094491" header="0" footer="0.19685039370078741"/>
  <pageSetup paperSize="9" scale="58" orientation="landscape" r:id="rId1"/>
  <headerFooter alignWithMargins="0"/>
  <ignoredErrors>
    <ignoredError sqref="AI10 AG24:AH24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048" r:id="rId4" name="Drop Down 376">
              <controlPr defaultSize="0" autoLine="0" autoPict="0">
                <anchor moveWithCells="1">
                  <from>
                    <xdr:col>10</xdr:col>
                    <xdr:colOff>0</xdr:colOff>
                    <xdr:row>4</xdr:row>
                    <xdr:rowOff>0</xdr:rowOff>
                  </from>
                  <to>
                    <xdr:col>12</xdr:col>
                    <xdr:colOff>560614</xdr:colOff>
                    <xdr:row>4</xdr:row>
                    <xdr:rowOff>217714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958" r:id="rId5" name="Drop Down 32062">
              <controlPr defaultSize="0" autoLine="0" autoPict="0">
                <anchor moveWithCells="1">
                  <from>
                    <xdr:col>11</xdr:col>
                    <xdr:colOff>21771</xdr:colOff>
                    <xdr:row>16</xdr:row>
                    <xdr:rowOff>0</xdr:rowOff>
                  </from>
                  <to>
                    <xdr:col>12</xdr:col>
                    <xdr:colOff>304800</xdr:colOff>
                    <xdr:row>17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959" r:id="rId6" name="Drop Down 32063">
              <controlPr defaultSize="0" autoLine="0" autoPict="0">
                <anchor moveWithCells="1">
                  <from>
                    <xdr:col>11</xdr:col>
                    <xdr:colOff>21771</xdr:colOff>
                    <xdr:row>17</xdr:row>
                    <xdr:rowOff>0</xdr:rowOff>
                  </from>
                  <to>
                    <xdr:col>12</xdr:col>
                    <xdr:colOff>304800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11">
    <tabColor theme="5"/>
  </sheetPr>
  <dimension ref="A1:S93"/>
  <sheetViews>
    <sheetView showGridLines="0" showRowColHeaders="0" zoomScale="110" zoomScaleNormal="110" workbookViewId="0">
      <selection activeCell="E5" sqref="E5"/>
    </sheetView>
  </sheetViews>
  <sheetFormatPr defaultColWidth="9.15234375" defaultRowHeight="15.45" x14ac:dyDescent="0.3"/>
  <cols>
    <col min="1" max="1" width="1.53515625" style="526" customWidth="1"/>
    <col min="2" max="2" width="6" style="527" customWidth="1"/>
    <col min="3" max="3" width="0.84375" style="526" customWidth="1"/>
    <col min="4" max="4" width="51.3828125" style="526" customWidth="1"/>
    <col min="5" max="5" width="4.69140625" style="528" customWidth="1"/>
    <col min="6" max="6" width="29.69140625" style="526" customWidth="1"/>
    <col min="7" max="7" width="12" style="529" customWidth="1"/>
    <col min="8" max="8" width="9" style="526" customWidth="1"/>
    <col min="9" max="9" width="9.15234375" style="526"/>
    <col min="10" max="10" width="10.3046875" style="526" customWidth="1"/>
    <col min="11" max="11" width="11" style="526" bestFit="1" customWidth="1"/>
    <col min="12" max="12" width="13.3828125" style="526" customWidth="1"/>
    <col min="13" max="13" width="7.15234375" style="526" customWidth="1"/>
    <col min="14" max="14" width="13.69140625" style="526" customWidth="1"/>
    <col min="15" max="15" width="1" style="526" customWidth="1"/>
    <col min="16" max="16" width="1.3828125" style="526" customWidth="1"/>
    <col min="17" max="17" width="8.69140625" style="526" customWidth="1"/>
    <col min="18" max="16384" width="9.15234375" style="526"/>
  </cols>
  <sheetData>
    <row r="1" spans="1:15" ht="3" customHeight="1" thickBot="1" x14ac:dyDescent="0.35"/>
    <row r="2" spans="1:15" ht="15" customHeight="1" thickTop="1" x14ac:dyDescent="0.3">
      <c r="A2" s="863"/>
      <c r="B2" s="530"/>
      <c r="C2" s="531"/>
    </row>
    <row r="3" spans="1:15" ht="15" customHeight="1" x14ac:dyDescent="0.3">
      <c r="A3" s="864"/>
      <c r="B3" s="530"/>
      <c r="C3" s="531"/>
    </row>
    <row r="4" spans="1:15" ht="15.9" thickBot="1" x14ac:dyDescent="0.35">
      <c r="A4" s="864"/>
      <c r="C4" s="532" t="s">
        <v>340</v>
      </c>
      <c r="D4" s="533"/>
      <c r="E4" s="526"/>
    </row>
    <row r="5" spans="1:15" ht="16.5" customHeight="1" thickTop="1" thickBot="1" x14ac:dyDescent="0.35">
      <c r="A5" s="864"/>
      <c r="B5" s="530"/>
      <c r="C5" s="531"/>
      <c r="D5" s="534" t="s">
        <v>827</v>
      </c>
      <c r="E5" s="854"/>
      <c r="G5" s="526"/>
    </row>
    <row r="6" spans="1:15" ht="16.5" customHeight="1" thickTop="1" thickBot="1" x14ac:dyDescent="0.35">
      <c r="A6" s="864"/>
      <c r="B6" s="530"/>
      <c r="C6" s="531"/>
      <c r="D6" s="534" t="s">
        <v>643</v>
      </c>
      <c r="E6" s="854"/>
      <c r="G6" s="526"/>
    </row>
    <row r="7" spans="1:15" ht="2.25" customHeight="1" thickTop="1" x14ac:dyDescent="0.3">
      <c r="A7" s="864"/>
      <c r="B7" s="530"/>
      <c r="C7" s="531"/>
      <c r="E7" s="526"/>
      <c r="G7" s="526"/>
    </row>
    <row r="8" spans="1:15" ht="3" customHeight="1" x14ac:dyDescent="0.3">
      <c r="A8" s="864"/>
      <c r="B8" s="530"/>
      <c r="C8" s="531"/>
    </row>
    <row r="9" spans="1:15" ht="18" thickBot="1" x14ac:dyDescent="0.35">
      <c r="A9" s="865"/>
      <c r="B9" s="866"/>
      <c r="C9" s="880"/>
      <c r="D9" s="880"/>
      <c r="E9" s="881" t="s">
        <v>422</v>
      </c>
      <c r="F9" s="836" t="str">
        <f>IF(E6="x","Critérios NFPA 13 ou EN 12845",IF(E5="x","Critérios RTSCIE",IF(AND(E5="",E6="",OR('Cálc. Sist. Extinção Automática'!A5=8,'Cálc. Sist. Extinção Automática'!A5=9,'Cálc. Sist. Extinção Automática'!A5=10)),"Critérios RTSCIE","Critérios NFPA 13 ou EN 12845")))</f>
        <v>Critérios NFPA 13 ou EN 12845</v>
      </c>
      <c r="G9" s="578"/>
      <c r="H9" s="835">
        <f>IF(OR(F9="",F9=0),1,IF(F9="Critérios RTSCIE",1,IF(F9="Critérios NFPA 13 ou EN 12845",2,"")))</f>
        <v>2</v>
      </c>
    </row>
    <row r="10" spans="1:15" ht="3.75" customHeight="1" thickTop="1" x14ac:dyDescent="0.3">
      <c r="A10" s="864"/>
      <c r="B10" s="535"/>
      <c r="F10" s="536"/>
      <c r="G10" s="536"/>
      <c r="H10" s="537"/>
    </row>
    <row r="11" spans="1:15" ht="18.75" customHeight="1" thickBot="1" x14ac:dyDescent="0.35">
      <c r="A11" s="864"/>
      <c r="B11" s="868" t="s">
        <v>341</v>
      </c>
      <c r="C11" s="538"/>
      <c r="D11" s="882" t="s">
        <v>342</v>
      </c>
      <c r="E11" s="883" t="s">
        <v>343</v>
      </c>
      <c r="F11" s="883" t="s">
        <v>344</v>
      </c>
      <c r="G11" s="868" t="s">
        <v>345</v>
      </c>
      <c r="H11" s="868" t="s">
        <v>346</v>
      </c>
      <c r="I11" s="884" t="s">
        <v>347</v>
      </c>
      <c r="J11" s="885"/>
      <c r="K11" s="885"/>
      <c r="L11" s="885"/>
      <c r="M11" s="885"/>
      <c r="N11" s="885"/>
      <c r="O11" s="882"/>
    </row>
    <row r="12" spans="1:15" ht="2.25" customHeight="1" thickTop="1" thickBot="1" x14ac:dyDescent="0.35">
      <c r="A12" s="864"/>
      <c r="B12" s="539"/>
      <c r="C12" s="540"/>
      <c r="D12" s="541"/>
      <c r="E12" s="542"/>
      <c r="F12" s="543"/>
      <c r="G12" s="544"/>
      <c r="H12" s="543"/>
      <c r="I12" s="543"/>
      <c r="J12" s="543"/>
      <c r="K12" s="543"/>
      <c r="L12" s="543"/>
      <c r="M12" s="543"/>
      <c r="N12" s="543"/>
      <c r="O12" s="545"/>
    </row>
    <row r="13" spans="1:15" s="549" customFormat="1" ht="15" customHeight="1" thickTop="1" thickBot="1" x14ac:dyDescent="0.35">
      <c r="A13" s="864"/>
      <c r="B13" s="1788">
        <v>0</v>
      </c>
      <c r="C13" s="591"/>
      <c r="D13" s="592" t="s">
        <v>348</v>
      </c>
      <c r="E13" s="1793" t="s">
        <v>72</v>
      </c>
      <c r="F13" s="593"/>
      <c r="G13" s="594" t="s">
        <v>431</v>
      </c>
      <c r="H13" s="595"/>
      <c r="I13" s="1493" t="s">
        <v>426</v>
      </c>
      <c r="J13" s="547"/>
      <c r="K13" s="547"/>
      <c r="L13" s="547"/>
      <c r="M13" s="547"/>
      <c r="N13" s="547"/>
      <c r="O13" s="548"/>
    </row>
    <row r="14" spans="1:15" s="549" customFormat="1" ht="12" customHeight="1" thickTop="1" thickBot="1" x14ac:dyDescent="0.35">
      <c r="A14" s="864"/>
      <c r="B14" s="1789"/>
      <c r="C14" s="591"/>
      <c r="D14" s="1790" t="s">
        <v>656</v>
      </c>
      <c r="E14" s="1794"/>
      <c r="F14" s="596" t="s">
        <v>428</v>
      </c>
      <c r="G14" s="597" t="s">
        <v>432</v>
      </c>
      <c r="H14" s="589"/>
      <c r="I14" s="1494" t="s">
        <v>423</v>
      </c>
      <c r="J14" s="550"/>
      <c r="K14" s="550"/>
      <c r="L14" s="550"/>
      <c r="M14" s="550"/>
      <c r="N14" s="550"/>
      <c r="O14" s="548"/>
    </row>
    <row r="15" spans="1:15" s="549" customFormat="1" ht="12" customHeight="1" thickTop="1" thickBot="1" x14ac:dyDescent="0.35">
      <c r="A15" s="864"/>
      <c r="B15" s="598"/>
      <c r="C15" s="591"/>
      <c r="D15" s="1791"/>
      <c r="E15" s="1794"/>
      <c r="F15" s="596" t="s">
        <v>429</v>
      </c>
      <c r="G15" s="597" t="s">
        <v>433</v>
      </c>
      <c r="H15" s="589"/>
      <c r="I15" s="579" t="s">
        <v>424</v>
      </c>
      <c r="J15" s="550"/>
      <c r="K15" s="550"/>
      <c r="L15" s="550"/>
      <c r="M15" s="550"/>
      <c r="N15" s="550"/>
      <c r="O15" s="548"/>
    </row>
    <row r="16" spans="1:15" s="549" customFormat="1" ht="15" customHeight="1" thickTop="1" thickBot="1" x14ac:dyDescent="0.35">
      <c r="A16" s="864"/>
      <c r="B16" s="598"/>
      <c r="C16" s="591"/>
      <c r="D16" s="1792"/>
      <c r="E16" s="1794"/>
      <c r="F16" s="599" t="s">
        <v>430</v>
      </c>
      <c r="G16" s="597" t="s">
        <v>434</v>
      </c>
      <c r="H16" s="589"/>
      <c r="I16" s="551" t="s">
        <v>350</v>
      </c>
      <c r="J16" s="552"/>
      <c r="K16" s="550"/>
      <c r="L16" s="550"/>
      <c r="M16" s="550"/>
      <c r="N16" s="550"/>
      <c r="O16" s="548"/>
    </row>
    <row r="17" spans="1:15" s="549" customFormat="1" ht="12" customHeight="1" thickTop="1" thickBot="1" x14ac:dyDescent="0.35">
      <c r="A17" s="864"/>
      <c r="B17" s="598"/>
      <c r="C17" s="591"/>
      <c r="D17" s="1792"/>
      <c r="E17" s="1795"/>
      <c r="F17" s="600"/>
      <c r="G17" s="601"/>
      <c r="H17" s="602"/>
      <c r="I17" s="579" t="s">
        <v>425</v>
      </c>
      <c r="J17" s="552"/>
      <c r="K17" s="550"/>
      <c r="L17" s="550"/>
      <c r="M17" s="550"/>
      <c r="N17" s="550"/>
      <c r="O17" s="548"/>
    </row>
    <row r="18" spans="1:15" s="549" customFormat="1" ht="15" customHeight="1" thickTop="1" thickBot="1" x14ac:dyDescent="0.35">
      <c r="A18" s="864"/>
      <c r="B18" s="598"/>
      <c r="C18" s="591"/>
      <c r="D18" s="891" t="s">
        <v>680</v>
      </c>
      <c r="E18" s="893" t="s">
        <v>141</v>
      </c>
      <c r="F18" s="897" t="s">
        <v>435</v>
      </c>
      <c r="G18" s="898" t="s">
        <v>119</v>
      </c>
      <c r="H18" s="899" t="s">
        <v>91</v>
      </c>
      <c r="I18" s="1809" t="s">
        <v>427</v>
      </c>
      <c r="J18" s="1810"/>
      <c r="K18" s="1810"/>
      <c r="L18" s="1810"/>
      <c r="M18" s="1810"/>
      <c r="N18" s="1810"/>
      <c r="O18" s="548"/>
    </row>
    <row r="19" spans="1:15" s="549" customFormat="1" ht="16.3" thickTop="1" thickBot="1" x14ac:dyDescent="0.35">
      <c r="A19" s="864"/>
      <c r="B19" s="1799">
        <v>1</v>
      </c>
      <c r="C19" s="591"/>
      <c r="D19" s="605" t="str">
        <f>IF($H$9=1,"Definir a Utilização Tipo (UT) aplicável à instalação:",IF($H$9=2,"Definir a Classe e Grupo de Risco aplicável à instalação:",""))</f>
        <v>Definir a Classe e Grupo de Risco aplicável à instalação:</v>
      </c>
      <c r="E19" s="871" t="s">
        <v>138</v>
      </c>
      <c r="F19" s="596" t="str">
        <f>IF($H$9=1,"Utilização Tipo (UT)",IF($H$9=2,"Classe e Grupo de Risco",""))</f>
        <v>Classe e Grupo de Risco</v>
      </c>
      <c r="G19" s="606"/>
      <c r="H19" s="589"/>
      <c r="I19" s="1728" t="str">
        <f>IF($H$9=1,"Consultar Quadro 3-RTSCIE.",IF($H$9=2,"Consultar Quadro 3-NFPA 13 ou EN 12845.",""))</f>
        <v>Consultar Quadro 3-NFPA 13 ou EN 12845.</v>
      </c>
      <c r="J19" s="1627"/>
      <c r="K19" s="1627"/>
      <c r="L19" s="1627"/>
      <c r="M19" s="1627"/>
      <c r="N19" s="1627"/>
      <c r="O19" s="548"/>
    </row>
    <row r="20" spans="1:15" s="549" customFormat="1" ht="17.25" customHeight="1" thickTop="1" thickBot="1" x14ac:dyDescent="0.35">
      <c r="A20" s="864"/>
      <c r="B20" s="1800"/>
      <c r="C20" s="591"/>
      <c r="D20" s="605" t="s">
        <v>655</v>
      </c>
      <c r="E20" s="870" t="s">
        <v>140</v>
      </c>
      <c r="F20" s="608" t="s">
        <v>439</v>
      </c>
      <c r="G20" s="609" t="s">
        <v>451</v>
      </c>
      <c r="H20" s="610" t="s">
        <v>452</v>
      </c>
      <c r="I20" s="1735" t="s">
        <v>450</v>
      </c>
      <c r="J20" s="1736"/>
      <c r="K20" s="1736"/>
      <c r="L20" s="1736"/>
      <c r="M20" s="1736"/>
      <c r="N20" s="1736"/>
      <c r="O20" s="548"/>
    </row>
    <row r="21" spans="1:15" s="549" customFormat="1" ht="21" thickTop="1" thickBot="1" x14ac:dyDescent="0.35">
      <c r="A21" s="864"/>
      <c r="B21" s="607"/>
      <c r="C21" s="591"/>
      <c r="D21" s="605" t="str">
        <f>IF($H$9=1,"Fixar o número de sprinklers em funcionamento simultâneo:",IF($H$9=2,"Fixar a área máxima de protecção por sprinkler:",""))</f>
        <v>Fixar a área máxima de protecção por sprinkler:</v>
      </c>
      <c r="E21" s="870" t="str">
        <f>IF($H$9=1,"1.6",IF($H$9=2,"1.2",""))</f>
        <v>1.2</v>
      </c>
      <c r="F21" s="608" t="str">
        <f>IF($H$9=1,"Nº de sprinklers em funcionamento simultâneo",IF($H$9=2,"Área máx. de protecção / sprinkler",""))</f>
        <v>Área máx. de protecção / sprinkler</v>
      </c>
      <c r="G21" s="609" t="str">
        <f>IF($H$9=1,"NSsim.",IF($H$9=2,"As",""))</f>
        <v>As</v>
      </c>
      <c r="H21" s="609" t="str">
        <f>IF($H$9=1,"nº",IF($H$9=2,"m2",""))</f>
        <v>m2</v>
      </c>
      <c r="I21" s="1732" t="str">
        <f>IF($H$9=1,"Consultar Quadro 3-RTSCIE.",IF($H$9=2,"Consultar Quadro 3-NFPA 13 ou EN 12845.",""))</f>
        <v>Consultar Quadro 3-NFPA 13 ou EN 12845.</v>
      </c>
      <c r="J21" s="1733"/>
      <c r="K21" s="1733"/>
      <c r="L21" s="1733"/>
      <c r="M21" s="1733"/>
      <c r="N21" s="1733"/>
      <c r="O21" s="548"/>
    </row>
    <row r="22" spans="1:15" s="549" customFormat="1" ht="24" thickTop="1" thickBot="1" x14ac:dyDescent="0.35">
      <c r="A22" s="864"/>
      <c r="B22" s="607"/>
      <c r="C22" s="591"/>
      <c r="D22" s="605" t="str">
        <f>IF($H$9=1,"Calcular a área máxima de protecção por sprinkler:",IF($H$9=2,"Calcular o número de sprinklers em funcionamento simultâneo:",""))</f>
        <v>Calcular o número de sprinklers em funcionamento simultâneo:</v>
      </c>
      <c r="E22" s="870" t="str">
        <f>IF($H$9=2,"1.6",IF($H$9=1,"1.2",""))</f>
        <v>1.6</v>
      </c>
      <c r="F22" s="608" t="str">
        <f>IF($H$9=2,"Nº de sprinklers em funcionamento simultâneo",IF($H$9=1,"Área máx. de protecção / sprinkler",""))</f>
        <v>Nº de sprinklers em funcionamento simultâneo</v>
      </c>
      <c r="G22" s="609" t="str">
        <f>IF($H$9=2,"NSsim.",IF($H$9=1,"As",""))</f>
        <v>NSsim.</v>
      </c>
      <c r="H22" s="609" t="str">
        <f>IF($H$9=2,"nº",IF($H$9=1,"m2",""))</f>
        <v>nº</v>
      </c>
      <c r="I22" s="1728"/>
      <c r="J22" s="1729"/>
      <c r="K22" s="1729"/>
      <c r="L22" s="1729"/>
      <c r="M22" s="1729"/>
      <c r="N22" s="1729"/>
      <c r="O22" s="548"/>
    </row>
    <row r="23" spans="1:15" s="549" customFormat="1" ht="14.25" customHeight="1" thickTop="1" thickBot="1" x14ac:dyDescent="0.35">
      <c r="A23" s="864"/>
      <c r="B23" s="607"/>
      <c r="C23" s="591"/>
      <c r="D23" s="605" t="s">
        <v>657</v>
      </c>
      <c r="E23" s="870" t="s">
        <v>139</v>
      </c>
      <c r="F23" s="611" t="s">
        <v>437</v>
      </c>
      <c r="G23" s="553" t="s">
        <v>89</v>
      </c>
      <c r="H23" s="610" t="s">
        <v>40</v>
      </c>
      <c r="I23" s="1728" t="str">
        <f>IF($H$9=1,"Consultar Quadro 3-RTSCIE.",IF($H$9=2,"Consultar Quadro 3-NFPA 13 ou EN 12845.",""))</f>
        <v>Consultar Quadro 3-NFPA 13 ou EN 12845.</v>
      </c>
      <c r="J23" s="1729"/>
      <c r="K23" s="1729"/>
      <c r="L23" s="1729"/>
      <c r="M23" s="1729"/>
      <c r="N23" s="1729"/>
      <c r="O23" s="548"/>
    </row>
    <row r="24" spans="1:15" s="549" customFormat="1" ht="14.25" customHeight="1" thickTop="1" thickBot="1" x14ac:dyDescent="0.35">
      <c r="A24" s="864"/>
      <c r="B24" s="607"/>
      <c r="C24" s="591"/>
      <c r="D24" s="605" t="s">
        <v>658</v>
      </c>
      <c r="E24" s="870" t="s">
        <v>351</v>
      </c>
      <c r="F24" s="611" t="s">
        <v>438</v>
      </c>
      <c r="G24" s="553" t="s">
        <v>24</v>
      </c>
      <c r="H24" s="610" t="s">
        <v>40</v>
      </c>
      <c r="I24" s="567"/>
      <c r="J24" s="580"/>
      <c r="K24" s="580"/>
      <c r="L24" s="580"/>
      <c r="M24" s="580"/>
      <c r="N24" s="580"/>
      <c r="O24" s="548"/>
    </row>
    <row r="25" spans="1:15" ht="24" thickTop="1" thickBot="1" x14ac:dyDescent="0.35">
      <c r="A25" s="864"/>
      <c r="B25" s="612"/>
      <c r="C25" s="613"/>
      <c r="D25" s="605" t="s">
        <v>659</v>
      </c>
      <c r="E25" s="870" t="s">
        <v>352</v>
      </c>
      <c r="F25" s="608" t="s">
        <v>92</v>
      </c>
      <c r="G25" s="609" t="s">
        <v>449</v>
      </c>
      <c r="H25" s="610" t="s">
        <v>91</v>
      </c>
      <c r="I25" s="567"/>
      <c r="J25" s="568"/>
      <c r="K25" s="568"/>
      <c r="L25" s="568"/>
      <c r="M25" s="568"/>
      <c r="N25" s="568"/>
      <c r="O25" s="545"/>
    </row>
    <row r="26" spans="1:15" ht="14.25" customHeight="1" thickTop="1" thickBot="1" x14ac:dyDescent="0.55000000000000004">
      <c r="A26" s="864"/>
      <c r="B26" s="612"/>
      <c r="C26" s="613"/>
      <c r="D26" s="605" t="s">
        <v>660</v>
      </c>
      <c r="E26" s="870" t="s">
        <v>289</v>
      </c>
      <c r="F26" s="608" t="s">
        <v>443</v>
      </c>
      <c r="G26" s="553" t="s">
        <v>446</v>
      </c>
      <c r="H26" s="610" t="s">
        <v>447</v>
      </c>
      <c r="I26" s="1728" t="str">
        <f>IF($H$9=1,"Consultar Quadro 3-RTSCIE.",IF($H$9=2,"Consultar Gráficos 1 e 2-NFPA 13 ou Quadro 3-EN 12845.",""))</f>
        <v>Consultar Gráficos 1 e 2-NFPA 13 ou Quadro 3-EN 12845.</v>
      </c>
      <c r="J26" s="1627"/>
      <c r="K26" s="1627"/>
      <c r="L26" s="1627"/>
      <c r="M26" s="1627"/>
      <c r="N26" s="1627"/>
      <c r="O26" s="545"/>
    </row>
    <row r="27" spans="1:15" ht="23.25" customHeight="1" thickTop="1" thickBot="1" x14ac:dyDescent="0.35">
      <c r="A27" s="864"/>
      <c r="B27" s="612"/>
      <c r="C27" s="613"/>
      <c r="D27" s="605" t="s">
        <v>661</v>
      </c>
      <c r="E27" s="870" t="s">
        <v>357</v>
      </c>
      <c r="F27" s="608" t="s">
        <v>441</v>
      </c>
      <c r="G27" s="609" t="s">
        <v>483</v>
      </c>
      <c r="H27" s="610" t="s">
        <v>93</v>
      </c>
      <c r="I27" s="1728"/>
      <c r="J27" s="1729"/>
      <c r="K27" s="1729"/>
      <c r="L27" s="1729"/>
      <c r="M27" s="1729"/>
      <c r="N27" s="1729"/>
      <c r="O27" s="545"/>
    </row>
    <row r="28" spans="1:15" ht="14.25" customHeight="1" thickTop="1" thickBot="1" x14ac:dyDescent="0.35">
      <c r="A28" s="864"/>
      <c r="B28" s="612"/>
      <c r="C28" s="613"/>
      <c r="D28" s="605" t="s">
        <v>683</v>
      </c>
      <c r="E28" s="870" t="s">
        <v>290</v>
      </c>
      <c r="F28" s="608" t="s">
        <v>682</v>
      </c>
      <c r="G28" s="887" t="s">
        <v>648</v>
      </c>
      <c r="H28" s="610" t="s">
        <v>647</v>
      </c>
      <c r="I28" s="1728" t="s">
        <v>445</v>
      </c>
      <c r="J28" s="1734"/>
      <c r="K28" s="1734"/>
      <c r="L28" s="1734"/>
      <c r="M28" s="1734"/>
      <c r="N28" s="1734"/>
      <c r="O28" s="545"/>
    </row>
    <row r="29" spans="1:15" ht="24" thickTop="1" thickBot="1" x14ac:dyDescent="0.35">
      <c r="A29" s="864"/>
      <c r="B29" s="612"/>
      <c r="C29" s="614"/>
      <c r="D29" s="605" t="s">
        <v>662</v>
      </c>
      <c r="E29" s="870" t="s">
        <v>436</v>
      </c>
      <c r="F29" s="608" t="s">
        <v>442</v>
      </c>
      <c r="G29" s="609" t="s">
        <v>484</v>
      </c>
      <c r="H29" s="610" t="s">
        <v>78</v>
      </c>
      <c r="I29" s="1739"/>
      <c r="J29" s="1740"/>
      <c r="K29" s="1740"/>
      <c r="L29" s="1740"/>
      <c r="M29" s="1740"/>
      <c r="N29" s="1740"/>
      <c r="O29" s="545"/>
    </row>
    <row r="30" spans="1:15" ht="24" thickTop="1" thickBot="1" x14ac:dyDescent="0.35">
      <c r="A30" s="864"/>
      <c r="B30" s="612"/>
      <c r="C30" s="614"/>
      <c r="D30" s="605" t="s">
        <v>663</v>
      </c>
      <c r="E30" s="870" t="s">
        <v>291</v>
      </c>
      <c r="F30" s="615" t="s">
        <v>353</v>
      </c>
      <c r="G30" s="609" t="s">
        <v>294</v>
      </c>
      <c r="H30" s="610" t="s">
        <v>95</v>
      </c>
      <c r="I30" s="1735" t="s">
        <v>354</v>
      </c>
      <c r="J30" s="1736"/>
      <c r="K30" s="1736"/>
      <c r="L30" s="1736"/>
      <c r="M30" s="1736"/>
      <c r="N30" s="1736"/>
      <c r="O30" s="545"/>
    </row>
    <row r="31" spans="1:15" ht="14.25" customHeight="1" thickTop="1" thickBot="1" x14ac:dyDescent="0.35">
      <c r="A31" s="864"/>
      <c r="B31" s="612"/>
      <c r="C31" s="614"/>
      <c r="D31" s="605" t="s">
        <v>664</v>
      </c>
      <c r="E31" s="870" t="s">
        <v>292</v>
      </c>
      <c r="F31" s="608" t="s">
        <v>355</v>
      </c>
      <c r="G31" s="610" t="s">
        <v>204</v>
      </c>
      <c r="H31" s="610" t="s">
        <v>78</v>
      </c>
      <c r="I31" s="1735" t="s">
        <v>356</v>
      </c>
      <c r="J31" s="1736"/>
      <c r="K31" s="1736"/>
      <c r="L31" s="1736"/>
      <c r="M31" s="1736"/>
      <c r="N31" s="1736"/>
      <c r="O31" s="545"/>
    </row>
    <row r="32" spans="1:15" ht="24" thickTop="1" thickBot="1" x14ac:dyDescent="0.35">
      <c r="A32" s="864"/>
      <c r="B32" s="612"/>
      <c r="C32" s="614"/>
      <c r="D32" s="605" t="s">
        <v>665</v>
      </c>
      <c r="E32" s="870" t="s">
        <v>293</v>
      </c>
      <c r="F32" s="608" t="s">
        <v>358</v>
      </c>
      <c r="G32" s="609" t="s">
        <v>359</v>
      </c>
      <c r="H32" s="610"/>
      <c r="I32" s="1737" t="s">
        <v>360</v>
      </c>
      <c r="J32" s="1738"/>
      <c r="K32" s="1738"/>
      <c r="L32" s="1738"/>
      <c r="M32" s="1738"/>
      <c r="N32" s="1738"/>
      <c r="O32" s="545"/>
    </row>
    <row r="33" spans="1:19" ht="27" customHeight="1" thickTop="1" thickBot="1" x14ac:dyDescent="0.35">
      <c r="A33" s="864"/>
      <c r="B33" s="612"/>
      <c r="C33" s="614"/>
      <c r="D33" s="616" t="s">
        <v>666</v>
      </c>
      <c r="E33" s="870" t="s">
        <v>440</v>
      </c>
      <c r="F33" s="617" t="s">
        <v>361</v>
      </c>
      <c r="G33" s="604" t="s">
        <v>362</v>
      </c>
      <c r="H33" s="604" t="s">
        <v>51</v>
      </c>
      <c r="I33" s="1730" t="s">
        <v>630</v>
      </c>
      <c r="J33" s="1731"/>
      <c r="K33" s="1731"/>
      <c r="L33" s="1731"/>
      <c r="M33" s="1731"/>
      <c r="N33" s="1731"/>
      <c r="O33" s="545"/>
    </row>
    <row r="34" spans="1:19" ht="24" customHeight="1" thickTop="1" thickBot="1" x14ac:dyDescent="0.35">
      <c r="A34" s="864"/>
      <c r="B34" s="1799">
        <v>2</v>
      </c>
      <c r="C34" s="614"/>
      <c r="D34" s="1801" t="s">
        <v>667</v>
      </c>
      <c r="E34" s="869"/>
      <c r="F34" s="593"/>
      <c r="G34" s="618"/>
      <c r="H34" s="595"/>
      <c r="I34" s="1771" t="s">
        <v>453</v>
      </c>
      <c r="J34" s="1772"/>
      <c r="K34" s="1772"/>
      <c r="L34" s="1772"/>
      <c r="M34" s="1772"/>
      <c r="N34" s="1772"/>
      <c r="O34" s="545"/>
    </row>
    <row r="35" spans="1:19" ht="12" customHeight="1" thickTop="1" thickBot="1" x14ac:dyDescent="0.35">
      <c r="A35" s="864"/>
      <c r="B35" s="1800"/>
      <c r="C35" s="614"/>
      <c r="D35" s="1802"/>
      <c r="E35" s="871" t="s">
        <v>141</v>
      </c>
      <c r="F35" s="1811" t="s">
        <v>349</v>
      </c>
      <c r="G35" s="1813" t="s">
        <v>119</v>
      </c>
      <c r="H35" s="1815" t="s">
        <v>91</v>
      </c>
      <c r="I35" s="581" t="s">
        <v>423</v>
      </c>
      <c r="J35" s="550"/>
      <c r="K35" s="550"/>
      <c r="L35" s="550"/>
      <c r="M35" s="550"/>
      <c r="N35" s="550"/>
      <c r="O35" s="545"/>
    </row>
    <row r="36" spans="1:19" ht="12" customHeight="1" thickTop="1" thickBot="1" x14ac:dyDescent="0.35">
      <c r="A36" s="864"/>
      <c r="B36" s="619"/>
      <c r="C36" s="614"/>
      <c r="D36" s="1802"/>
      <c r="E36" s="871"/>
      <c r="F36" s="1812"/>
      <c r="G36" s="1814"/>
      <c r="H36" s="1816"/>
      <c r="I36" s="581" t="s">
        <v>424</v>
      </c>
      <c r="J36" s="552"/>
      <c r="K36" s="550"/>
      <c r="L36" s="550"/>
      <c r="M36" s="550"/>
      <c r="N36" s="550"/>
      <c r="O36" s="545"/>
    </row>
    <row r="37" spans="1:19" ht="12.75" customHeight="1" thickTop="1" thickBot="1" x14ac:dyDescent="0.35">
      <c r="A37" s="864"/>
      <c r="B37" s="619"/>
      <c r="C37" s="614"/>
      <c r="D37" s="1802"/>
      <c r="E37" s="872"/>
      <c r="F37" s="599"/>
      <c r="G37" s="603"/>
      <c r="H37" s="589"/>
      <c r="I37" s="581" t="s">
        <v>350</v>
      </c>
      <c r="J37" s="552"/>
      <c r="K37" s="550"/>
      <c r="L37" s="550"/>
      <c r="M37" s="550"/>
      <c r="N37" s="550"/>
      <c r="O37" s="545"/>
    </row>
    <row r="38" spans="1:19" ht="24" thickTop="1" thickBot="1" x14ac:dyDescent="0.35">
      <c r="A38" s="864"/>
      <c r="B38" s="619"/>
      <c r="C38" s="620"/>
      <c r="D38" s="605" t="s">
        <v>668</v>
      </c>
      <c r="E38" s="870" t="s">
        <v>61</v>
      </c>
      <c r="F38" s="608" t="s">
        <v>454</v>
      </c>
      <c r="G38" s="609" t="s">
        <v>456</v>
      </c>
      <c r="H38" s="610" t="s">
        <v>91</v>
      </c>
      <c r="I38" s="900" t="s">
        <v>425</v>
      </c>
      <c r="J38" s="568"/>
      <c r="K38" s="568"/>
      <c r="L38" s="568"/>
      <c r="M38" s="568"/>
      <c r="N38" s="568"/>
      <c r="O38" s="545"/>
    </row>
    <row r="39" spans="1:19" ht="24" thickTop="1" thickBot="1" x14ac:dyDescent="0.35">
      <c r="A39" s="864"/>
      <c r="B39" s="619"/>
      <c r="C39" s="614"/>
      <c r="D39" s="605" t="s">
        <v>669</v>
      </c>
      <c r="E39" s="870" t="s">
        <v>97</v>
      </c>
      <c r="F39" s="608" t="s">
        <v>455</v>
      </c>
      <c r="G39" s="609" t="s">
        <v>457</v>
      </c>
      <c r="H39" s="610" t="s">
        <v>91</v>
      </c>
      <c r="I39" s="582" t="s">
        <v>363</v>
      </c>
      <c r="J39" s="556"/>
      <c r="K39" s="556"/>
      <c r="L39" s="556"/>
      <c r="M39" s="556"/>
      <c r="N39" s="556"/>
      <c r="O39" s="545"/>
    </row>
    <row r="40" spans="1:19" ht="21" hidden="1" thickTop="1" thickBot="1" x14ac:dyDescent="0.35">
      <c r="A40" s="864"/>
      <c r="B40" s="619"/>
      <c r="C40" s="614"/>
      <c r="D40" s="621" t="s">
        <v>364</v>
      </c>
      <c r="E40" s="873" t="s">
        <v>365</v>
      </c>
      <c r="F40" s="622" t="s">
        <v>366</v>
      </c>
      <c r="G40" s="557" t="s">
        <v>367</v>
      </c>
      <c r="H40" s="610" t="s">
        <v>93</v>
      </c>
      <c r="I40" s="1735" t="s">
        <v>368</v>
      </c>
      <c r="J40" s="1818" t="str">
        <f>IF($H$9=3,"Imputar a cada troço em análise o número total de Colunas Montante Húmidas Abastecidas.","Imputar a cada troço em análise o número total de Bocas de Incêndio abastecidas, na coluna correspondente ao tipo de B.I. utilizada.")</f>
        <v>Imputar a cada troço em análise o número total de Bocas de Incêndio abastecidas, na coluna correspondente ao tipo de B.I. utilizada.</v>
      </c>
      <c r="K40" s="1818" t="str">
        <f>IF($H$9=3,"Imputar a cada troço em análise o número total de Colunas Montante Húmidas Abastecidas.","Imputar a cada troço em análise o número total de Bocas de Incêndio abastecidas, na coluna correspondente ao tipo de B.I. utilizada.")</f>
        <v>Imputar a cada troço em análise o número total de Bocas de Incêndio abastecidas, na coluna correspondente ao tipo de B.I. utilizada.</v>
      </c>
      <c r="L40" s="1818" t="str">
        <f>IF($H$9=3,"Imputar a cada troço em análise o número total de Colunas Montante Húmidas Abastecidas.","Imputar a cada troço em análise o número total de Bocas de Incêndio abastecidas, na coluna correspondente ao tipo de B.I. utilizada.")</f>
        <v>Imputar a cada troço em análise o número total de Bocas de Incêndio abastecidas, na coluna correspondente ao tipo de B.I. utilizada.</v>
      </c>
      <c r="M40" s="1818" t="str">
        <f>IF($H$9=3,"Imputar a cada troço em análise o número total de Colunas Montante Húmidas Abastecidas.","Imputar a cada troço em análise o número total de Bocas de Incêndio abastecidas, na coluna correspondente ao tipo de B.I. utilizada.")</f>
        <v>Imputar a cada troço em análise o número total de Bocas de Incêndio abastecidas, na coluna correspondente ao tipo de B.I. utilizada.</v>
      </c>
      <c r="N40" s="1818" t="str">
        <f>IF($H$9=3,"Imputar a cada troço em análise o número total de Colunas Montante Húmidas Abastecidas.","Imputar a cada troço em análise o número total de Bocas de Incêndio abastecidas, na coluna correspondente ao tipo de B.I. utilizada.")</f>
        <v>Imputar a cada troço em análise o número total de Bocas de Incêndio abastecidas, na coluna correspondente ao tipo de B.I. utilizada.</v>
      </c>
      <c r="O40" s="545"/>
    </row>
    <row r="41" spans="1:19" ht="24" hidden="1" thickTop="1" thickBot="1" x14ac:dyDescent="0.35">
      <c r="A41" s="864"/>
      <c r="B41" s="619"/>
      <c r="C41" s="614"/>
      <c r="D41" s="621" t="s">
        <v>369</v>
      </c>
      <c r="E41" s="873" t="s">
        <v>370</v>
      </c>
      <c r="F41" s="622" t="s">
        <v>371</v>
      </c>
      <c r="G41" s="609" t="s">
        <v>372</v>
      </c>
      <c r="H41" s="562"/>
      <c r="I41" s="1732" t="s">
        <v>373</v>
      </c>
      <c r="J41" s="1773"/>
      <c r="K41" s="1773"/>
      <c r="L41" s="1773"/>
      <c r="M41" s="1773"/>
      <c r="N41" s="1773"/>
      <c r="O41" s="545"/>
    </row>
    <row r="42" spans="1:19" ht="15.75" customHeight="1" thickTop="1" thickBot="1" x14ac:dyDescent="0.55000000000000004">
      <c r="A42" s="864"/>
      <c r="B42" s="1807">
        <v>3</v>
      </c>
      <c r="C42" s="614"/>
      <c r="D42" s="1803" t="s">
        <v>670</v>
      </c>
      <c r="E42" s="869" t="s">
        <v>62</v>
      </c>
      <c r="F42" s="623" t="s">
        <v>375</v>
      </c>
      <c r="G42" s="624" t="s">
        <v>376</v>
      </c>
      <c r="H42" s="595" t="s">
        <v>40</v>
      </c>
      <c r="I42" s="1771" t="s">
        <v>363</v>
      </c>
      <c r="J42" s="1783"/>
      <c r="K42" s="1783"/>
      <c r="L42" s="1783"/>
      <c r="M42" s="1783"/>
      <c r="N42" s="1783"/>
      <c r="O42" s="545"/>
    </row>
    <row r="43" spans="1:19" ht="24.75" customHeight="1" thickTop="1" thickBot="1" x14ac:dyDescent="0.35">
      <c r="A43" s="864"/>
      <c r="B43" s="1808"/>
      <c r="C43" s="614"/>
      <c r="D43" s="1804"/>
      <c r="E43" s="870" t="s">
        <v>46</v>
      </c>
      <c r="F43" s="608" t="s">
        <v>377</v>
      </c>
      <c r="G43" s="625" t="s">
        <v>378</v>
      </c>
      <c r="H43" s="610" t="s">
        <v>40</v>
      </c>
      <c r="I43" s="1735" t="s">
        <v>379</v>
      </c>
      <c r="J43" s="1819"/>
      <c r="K43" s="1819"/>
      <c r="L43" s="1819"/>
      <c r="M43" s="1819"/>
      <c r="N43" s="1819"/>
      <c r="O43" s="545"/>
    </row>
    <row r="44" spans="1:19" ht="20.25" customHeight="1" thickTop="1" thickBot="1" x14ac:dyDescent="0.35">
      <c r="A44" s="864"/>
      <c r="B44" s="612"/>
      <c r="C44" s="614"/>
      <c r="D44" s="1804"/>
      <c r="E44" s="870" t="s">
        <v>380</v>
      </c>
      <c r="F44" s="622" t="s">
        <v>381</v>
      </c>
      <c r="G44" s="625" t="s">
        <v>382</v>
      </c>
      <c r="H44" s="610" t="s">
        <v>40</v>
      </c>
      <c r="I44" s="1728"/>
      <c r="J44" s="1734"/>
      <c r="K44" s="1776" t="s">
        <v>383</v>
      </c>
      <c r="L44" s="1777"/>
      <c r="M44" s="1777"/>
      <c r="N44" s="1777"/>
      <c r="O44" s="545"/>
    </row>
    <row r="45" spans="1:19" ht="22.5" customHeight="1" thickTop="1" thickBot="1" x14ac:dyDescent="0.35">
      <c r="A45" s="864"/>
      <c r="B45" s="612"/>
      <c r="C45" s="613"/>
      <c r="D45" s="626" t="s">
        <v>384</v>
      </c>
      <c r="E45" s="874" t="s">
        <v>299</v>
      </c>
      <c r="F45" s="627" t="s">
        <v>385</v>
      </c>
      <c r="G45" s="628" t="s">
        <v>386</v>
      </c>
      <c r="H45" s="604" t="s">
        <v>40</v>
      </c>
      <c r="I45" s="1774"/>
      <c r="J45" s="1775"/>
      <c r="K45" s="1778"/>
      <c r="L45" s="1778"/>
      <c r="M45" s="1778"/>
      <c r="N45" s="1778"/>
      <c r="O45" s="545"/>
    </row>
    <row r="46" spans="1:19" ht="24" hidden="1" thickTop="1" thickBot="1" x14ac:dyDescent="0.35">
      <c r="A46" s="864"/>
      <c r="B46" s="629"/>
      <c r="C46" s="620"/>
      <c r="D46" s="630" t="s">
        <v>387</v>
      </c>
      <c r="E46" s="875" t="s">
        <v>388</v>
      </c>
      <c r="F46" s="631" t="s">
        <v>389</v>
      </c>
      <c r="G46" s="632" t="s">
        <v>390</v>
      </c>
      <c r="H46" s="633" t="s">
        <v>40</v>
      </c>
      <c r="I46" s="1741" t="s">
        <v>391</v>
      </c>
      <c r="J46" s="1742"/>
      <c r="K46" s="1742"/>
      <c r="L46" s="1742"/>
      <c r="M46" s="1742"/>
      <c r="N46" s="558"/>
      <c r="O46" s="545"/>
    </row>
    <row r="47" spans="1:19" ht="25.5" hidden="1" customHeight="1" thickTop="1" thickBot="1" x14ac:dyDescent="0.35">
      <c r="A47" s="864"/>
      <c r="B47" s="634"/>
      <c r="C47" s="613"/>
      <c r="D47" s="635" t="s">
        <v>392</v>
      </c>
      <c r="E47" s="873" t="s">
        <v>393</v>
      </c>
      <c r="F47" s="622" t="s">
        <v>394</v>
      </c>
      <c r="G47" s="625" t="s">
        <v>395</v>
      </c>
      <c r="H47" s="610" t="s">
        <v>40</v>
      </c>
      <c r="I47" s="559"/>
      <c r="J47" s="554"/>
      <c r="K47" s="1743"/>
      <c r="L47" s="1743"/>
      <c r="M47" s="1743"/>
      <c r="N47" s="1743"/>
      <c r="O47" s="545"/>
      <c r="S47" s="560"/>
    </row>
    <row r="48" spans="1:19" ht="35.6" hidden="1" thickTop="1" thickBot="1" x14ac:dyDescent="0.35">
      <c r="A48" s="864"/>
      <c r="B48" s="612"/>
      <c r="C48" s="620"/>
      <c r="D48" s="636" t="s">
        <v>396</v>
      </c>
      <c r="E48" s="876" t="s">
        <v>397</v>
      </c>
      <c r="F48" s="637" t="s">
        <v>398</v>
      </c>
      <c r="G48" s="561" t="s">
        <v>399</v>
      </c>
      <c r="H48" s="562" t="s">
        <v>79</v>
      </c>
      <c r="I48" s="563"/>
      <c r="J48" s="564"/>
      <c r="K48" s="564"/>
      <c r="L48" s="564"/>
      <c r="M48" s="564"/>
      <c r="N48" s="564"/>
      <c r="O48" s="545"/>
    </row>
    <row r="49" spans="1:15" ht="26.25" hidden="1" customHeight="1" thickTop="1" thickBot="1" x14ac:dyDescent="0.35">
      <c r="A49" s="864"/>
      <c r="B49" s="629">
        <v>6</v>
      </c>
      <c r="C49" s="620"/>
      <c r="D49" s="638" t="s">
        <v>400</v>
      </c>
      <c r="E49" s="877" t="s">
        <v>401</v>
      </c>
      <c r="F49" s="639" t="s">
        <v>402</v>
      </c>
      <c r="G49" s="565" t="s">
        <v>333</v>
      </c>
      <c r="H49" s="640" t="s">
        <v>39</v>
      </c>
      <c r="I49" s="1744" t="s">
        <v>403</v>
      </c>
      <c r="J49" s="1745"/>
      <c r="K49" s="1745"/>
      <c r="L49" s="1745"/>
      <c r="M49" s="1745"/>
      <c r="N49" s="566"/>
      <c r="O49" s="545"/>
    </row>
    <row r="50" spans="1:15" ht="24" thickTop="1" thickBot="1" x14ac:dyDescent="0.55000000000000004">
      <c r="A50" s="864"/>
      <c r="B50" s="619">
        <v>4</v>
      </c>
      <c r="C50" s="614"/>
      <c r="D50" s="635" t="s">
        <v>461</v>
      </c>
      <c r="E50" s="878" t="s">
        <v>357</v>
      </c>
      <c r="F50" s="641" t="s">
        <v>462</v>
      </c>
      <c r="G50" s="642" t="s">
        <v>448</v>
      </c>
      <c r="H50" s="643" t="s">
        <v>93</v>
      </c>
      <c r="I50" s="1739" t="s">
        <v>501</v>
      </c>
      <c r="J50" s="1817"/>
      <c r="K50" s="1817"/>
      <c r="L50" s="1817"/>
      <c r="M50" s="1817"/>
      <c r="N50" s="1817"/>
      <c r="O50" s="545"/>
    </row>
    <row r="51" spans="1:15" ht="24" thickTop="1" thickBot="1" x14ac:dyDescent="0.35">
      <c r="A51" s="864"/>
      <c r="B51" s="634"/>
      <c r="C51" s="613"/>
      <c r="D51" s="635" t="s">
        <v>671</v>
      </c>
      <c r="E51" s="870" t="s">
        <v>436</v>
      </c>
      <c r="F51" s="644" t="s">
        <v>442</v>
      </c>
      <c r="G51" s="609" t="s">
        <v>444</v>
      </c>
      <c r="H51" s="610" t="s">
        <v>78</v>
      </c>
      <c r="I51" s="1746" t="s">
        <v>500</v>
      </c>
      <c r="J51" s="1747"/>
      <c r="K51" s="1747"/>
      <c r="L51" s="1747"/>
      <c r="M51" s="1747"/>
      <c r="N51" s="1747"/>
      <c r="O51" s="545"/>
    </row>
    <row r="52" spans="1:15" ht="24" customHeight="1" thickTop="1" thickBot="1" x14ac:dyDescent="0.35">
      <c r="A52" s="864"/>
      <c r="B52" s="612"/>
      <c r="C52" s="614"/>
      <c r="D52" s="645" t="s">
        <v>672</v>
      </c>
      <c r="E52" s="870" t="s">
        <v>301</v>
      </c>
      <c r="F52" s="644" t="s">
        <v>203</v>
      </c>
      <c r="G52" s="609" t="s">
        <v>131</v>
      </c>
      <c r="H52" s="610"/>
      <c r="I52" s="1735" t="s">
        <v>465</v>
      </c>
      <c r="J52" s="1736"/>
      <c r="K52" s="1736"/>
      <c r="L52" s="1736"/>
      <c r="M52" s="1736"/>
      <c r="N52" s="1736"/>
      <c r="O52" s="545"/>
    </row>
    <row r="53" spans="1:15" ht="36.75" customHeight="1" thickTop="1" thickBot="1" x14ac:dyDescent="0.35">
      <c r="A53" s="864"/>
      <c r="B53" s="612"/>
      <c r="C53" s="614"/>
      <c r="D53" s="645" t="s">
        <v>673</v>
      </c>
      <c r="E53" s="870" t="s">
        <v>296</v>
      </c>
      <c r="F53" s="644" t="s">
        <v>463</v>
      </c>
      <c r="G53" s="625" t="s">
        <v>335</v>
      </c>
      <c r="H53" s="610" t="s">
        <v>39</v>
      </c>
      <c r="I53" s="1735" t="s">
        <v>403</v>
      </c>
      <c r="J53" s="1736"/>
      <c r="K53" s="1736"/>
      <c r="L53" s="1736"/>
      <c r="M53" s="1736"/>
      <c r="N53" s="1736"/>
      <c r="O53" s="545"/>
    </row>
    <row r="54" spans="1:15" ht="18" customHeight="1" thickTop="1" thickBot="1" x14ac:dyDescent="0.35">
      <c r="A54" s="864"/>
      <c r="B54" s="612"/>
      <c r="C54" s="614"/>
      <c r="D54" s="645" t="s">
        <v>674</v>
      </c>
      <c r="E54" s="870" t="s">
        <v>297</v>
      </c>
      <c r="F54" s="644" t="s">
        <v>407</v>
      </c>
      <c r="G54" s="609" t="s">
        <v>42</v>
      </c>
      <c r="H54" s="610" t="s">
        <v>503</v>
      </c>
      <c r="I54" s="1784"/>
      <c r="J54" s="1785"/>
      <c r="K54" s="1785"/>
      <c r="L54" s="1785"/>
      <c r="M54" s="1785"/>
      <c r="N54" s="1785"/>
      <c r="O54" s="545"/>
    </row>
    <row r="55" spans="1:15" ht="21" thickTop="1" thickBot="1" x14ac:dyDescent="0.35">
      <c r="A55" s="864"/>
      <c r="B55" s="612"/>
      <c r="C55" s="614"/>
      <c r="D55" s="645" t="s">
        <v>675</v>
      </c>
      <c r="E55" s="870" t="s">
        <v>298</v>
      </c>
      <c r="F55" s="608" t="s">
        <v>408</v>
      </c>
      <c r="G55" s="610" t="s">
        <v>204</v>
      </c>
      <c r="H55" s="610" t="s">
        <v>78</v>
      </c>
      <c r="I55" s="1786"/>
      <c r="J55" s="1787"/>
      <c r="K55" s="1787"/>
      <c r="L55" s="1787"/>
      <c r="M55" s="1787"/>
      <c r="N55" s="1787"/>
      <c r="O55" s="545"/>
    </row>
    <row r="56" spans="1:15" ht="21" thickTop="1" thickBot="1" x14ac:dyDescent="0.35">
      <c r="A56" s="864"/>
      <c r="B56" s="612"/>
      <c r="C56" s="614"/>
      <c r="D56" s="626" t="s">
        <v>676</v>
      </c>
      <c r="E56" s="874" t="s">
        <v>67</v>
      </c>
      <c r="F56" s="627" t="s">
        <v>464</v>
      </c>
      <c r="G56" s="646" t="s">
        <v>336</v>
      </c>
      <c r="H56" s="640" t="s">
        <v>78</v>
      </c>
      <c r="I56" s="1781"/>
      <c r="J56" s="1782"/>
      <c r="K56" s="1782"/>
      <c r="L56" s="1782"/>
      <c r="M56" s="1782"/>
      <c r="N56" s="1782"/>
      <c r="O56" s="545"/>
    </row>
    <row r="57" spans="1:15" ht="23.25" customHeight="1" thickTop="1" thickBot="1" x14ac:dyDescent="0.35">
      <c r="A57" s="864"/>
      <c r="B57" s="612">
        <v>5</v>
      </c>
      <c r="C57" s="614"/>
      <c r="D57" s="1798" t="s">
        <v>677</v>
      </c>
      <c r="E57" s="871" t="s">
        <v>97</v>
      </c>
      <c r="F57" s="608" t="s">
        <v>455</v>
      </c>
      <c r="G57" s="647" t="s">
        <v>457</v>
      </c>
      <c r="H57" s="589" t="s">
        <v>91</v>
      </c>
      <c r="I57" s="1771" t="s">
        <v>479</v>
      </c>
      <c r="J57" s="1783"/>
      <c r="K57" s="1783"/>
      <c r="L57" s="1783"/>
      <c r="M57" s="1783"/>
      <c r="N57" s="1783"/>
      <c r="O57" s="545"/>
    </row>
    <row r="58" spans="1:15" ht="15" customHeight="1" thickTop="1" thickBot="1" x14ac:dyDescent="0.35">
      <c r="A58" s="864"/>
      <c r="B58" s="612"/>
      <c r="C58" s="614"/>
      <c r="D58" s="1796"/>
      <c r="E58" s="870" t="s">
        <v>301</v>
      </c>
      <c r="F58" s="644" t="s">
        <v>203</v>
      </c>
      <c r="G58" s="609" t="s">
        <v>131</v>
      </c>
      <c r="H58" s="610" t="s">
        <v>39</v>
      </c>
      <c r="I58" s="1735" t="s">
        <v>465</v>
      </c>
      <c r="J58" s="1736"/>
      <c r="K58" s="1736"/>
      <c r="L58" s="1736"/>
      <c r="M58" s="1736"/>
      <c r="N58" s="1736"/>
      <c r="O58" s="545"/>
    </row>
    <row r="59" spans="1:15" ht="24" customHeight="1" thickTop="1" thickBot="1" x14ac:dyDescent="0.35">
      <c r="A59" s="864"/>
      <c r="B59" s="612"/>
      <c r="C59" s="614"/>
      <c r="D59" s="1796" t="s">
        <v>678</v>
      </c>
      <c r="E59" s="870" t="s">
        <v>296</v>
      </c>
      <c r="F59" s="644" t="s">
        <v>463</v>
      </c>
      <c r="G59" s="625" t="s">
        <v>335</v>
      </c>
      <c r="H59" s="610" t="s">
        <v>39</v>
      </c>
      <c r="I59" s="1735" t="s">
        <v>403</v>
      </c>
      <c r="J59" s="1736"/>
      <c r="K59" s="1736"/>
      <c r="L59" s="1736"/>
      <c r="M59" s="1736"/>
      <c r="N59" s="1736"/>
      <c r="O59" s="545"/>
    </row>
    <row r="60" spans="1:15" ht="25.5" customHeight="1" thickTop="1" thickBot="1" x14ac:dyDescent="0.35">
      <c r="A60" s="864"/>
      <c r="B60" s="612"/>
      <c r="C60" s="614"/>
      <c r="D60" s="1797"/>
      <c r="E60" s="871" t="s">
        <v>405</v>
      </c>
      <c r="F60" s="648" t="s">
        <v>477</v>
      </c>
      <c r="G60" s="606" t="s">
        <v>24</v>
      </c>
      <c r="H60" s="589" t="s">
        <v>39</v>
      </c>
      <c r="I60" s="587" t="s">
        <v>478</v>
      </c>
      <c r="J60" s="556"/>
      <c r="K60" s="556"/>
      <c r="L60" s="556"/>
      <c r="M60" s="556"/>
      <c r="N60" s="556"/>
      <c r="O60" s="545"/>
    </row>
    <row r="61" spans="1:15" ht="51" customHeight="1" thickTop="1" thickBot="1" x14ac:dyDescent="0.35">
      <c r="A61" s="864"/>
      <c r="B61" s="629">
        <v>6</v>
      </c>
      <c r="C61" s="620"/>
      <c r="D61" s="649" t="s">
        <v>681</v>
      </c>
      <c r="E61" s="1793" t="s">
        <v>67</v>
      </c>
      <c r="F61" s="1723" t="s">
        <v>464</v>
      </c>
      <c r="G61" s="1725" t="s">
        <v>336</v>
      </c>
      <c r="H61" s="1727" t="s">
        <v>78</v>
      </c>
      <c r="I61" s="1752" t="s">
        <v>893</v>
      </c>
      <c r="J61" s="1753"/>
      <c r="K61" s="1753"/>
      <c r="L61" s="1753"/>
      <c r="M61" s="1753"/>
      <c r="N61" s="1753"/>
      <c r="O61" s="545"/>
    </row>
    <row r="62" spans="1:15" ht="33" customHeight="1" thickTop="1" thickBot="1" x14ac:dyDescent="0.35">
      <c r="A62" s="864"/>
      <c r="B62" s="619"/>
      <c r="C62" s="614"/>
      <c r="D62" s="1389" t="s">
        <v>890</v>
      </c>
      <c r="E62" s="1726"/>
      <c r="F62" s="1724"/>
      <c r="G62" s="1726"/>
      <c r="H62" s="1726"/>
      <c r="I62" s="1754"/>
      <c r="J62" s="1552"/>
      <c r="K62" s="1552"/>
      <c r="L62" s="1552"/>
      <c r="M62" s="1552"/>
      <c r="N62" s="1552"/>
      <c r="O62" s="545"/>
    </row>
    <row r="63" spans="1:15" ht="33.75" customHeight="1" thickTop="1" thickBot="1" x14ac:dyDescent="0.35">
      <c r="A63" s="864"/>
      <c r="B63" s="619"/>
      <c r="C63" s="614"/>
      <c r="D63" s="1389" t="s">
        <v>891</v>
      </c>
      <c r="E63" s="1805" t="s">
        <v>68</v>
      </c>
      <c r="F63" s="1717" t="s">
        <v>476</v>
      </c>
      <c r="G63" s="1719" t="s">
        <v>337</v>
      </c>
      <c r="H63" s="1721" t="s">
        <v>78</v>
      </c>
      <c r="I63" s="1750"/>
      <c r="J63" s="1751"/>
      <c r="K63" s="1751"/>
      <c r="L63" s="1751"/>
      <c r="M63" s="1751"/>
      <c r="N63" s="1751"/>
      <c r="O63" s="545"/>
    </row>
    <row r="64" spans="1:15" ht="40.5" customHeight="1" thickTop="1" thickBot="1" x14ac:dyDescent="0.35">
      <c r="A64" s="864"/>
      <c r="B64" s="619"/>
      <c r="C64" s="614"/>
      <c r="D64" s="1387" t="s">
        <v>892</v>
      </c>
      <c r="E64" s="1806"/>
      <c r="F64" s="1718"/>
      <c r="G64" s="1720"/>
      <c r="H64" s="1722"/>
      <c r="I64" s="1748" t="s">
        <v>889</v>
      </c>
      <c r="J64" s="1749"/>
      <c r="K64" s="1749"/>
      <c r="L64" s="1749"/>
      <c r="M64" s="1749"/>
      <c r="N64" s="1749"/>
      <c r="O64" s="545"/>
    </row>
    <row r="65" spans="1:15" ht="24" thickTop="1" thickBot="1" x14ac:dyDescent="0.35">
      <c r="A65" s="864"/>
      <c r="B65" s="619">
        <v>7</v>
      </c>
      <c r="C65" s="614"/>
      <c r="D65" s="645" t="s">
        <v>494</v>
      </c>
      <c r="E65" s="871" t="s">
        <v>357</v>
      </c>
      <c r="F65" s="694" t="s">
        <v>462</v>
      </c>
      <c r="G65" s="1388" t="s">
        <v>483</v>
      </c>
      <c r="H65" s="602" t="s">
        <v>93</v>
      </c>
      <c r="I65" s="1771" t="s">
        <v>948</v>
      </c>
      <c r="J65" s="1783"/>
      <c r="K65" s="1783"/>
      <c r="L65" s="1783"/>
      <c r="M65" s="1783"/>
      <c r="N65" s="1783"/>
      <c r="O65" s="545"/>
    </row>
    <row r="66" spans="1:15" ht="18" customHeight="1" thickTop="1" thickBot="1" x14ac:dyDescent="0.55000000000000004">
      <c r="A66" s="864"/>
      <c r="B66" s="619"/>
      <c r="C66" s="614"/>
      <c r="D66" s="605" t="s">
        <v>495</v>
      </c>
      <c r="E66" s="870" t="s">
        <v>436</v>
      </c>
      <c r="F66" s="608" t="s">
        <v>442</v>
      </c>
      <c r="G66" s="642" t="s">
        <v>484</v>
      </c>
      <c r="H66" s="610" t="s">
        <v>78</v>
      </c>
      <c r="I66" s="1728" t="s">
        <v>496</v>
      </c>
      <c r="J66" s="1734"/>
      <c r="K66" s="1734"/>
      <c r="L66" s="1734"/>
      <c r="M66" s="1734"/>
      <c r="N66" s="1734"/>
      <c r="O66" s="545"/>
    </row>
    <row r="67" spans="1:15" ht="25.75" thickTop="1" thickBot="1" x14ac:dyDescent="0.35">
      <c r="A67" s="864"/>
      <c r="B67" s="651"/>
      <c r="C67" s="614"/>
      <c r="D67" s="621" t="s">
        <v>894</v>
      </c>
      <c r="E67" s="870" t="s">
        <v>290</v>
      </c>
      <c r="F67" s="608" t="s">
        <v>682</v>
      </c>
      <c r="G67" s="887" t="s">
        <v>648</v>
      </c>
      <c r="H67" s="610" t="s">
        <v>647</v>
      </c>
      <c r="I67" s="1780"/>
      <c r="J67" s="1627"/>
      <c r="K67" s="1627"/>
      <c r="L67" s="1627"/>
      <c r="M67" s="1627"/>
      <c r="N67" s="1627"/>
      <c r="O67" s="545"/>
    </row>
    <row r="68" spans="1:15" ht="21.75" customHeight="1" thickTop="1" thickBot="1" x14ac:dyDescent="0.35">
      <c r="A68" s="864"/>
      <c r="B68" s="651"/>
      <c r="C68" s="614"/>
      <c r="D68" s="1757" t="s">
        <v>497</v>
      </c>
      <c r="E68" s="870" t="s">
        <v>65</v>
      </c>
      <c r="F68" s="608" t="s">
        <v>684</v>
      </c>
      <c r="G68" s="609" t="s">
        <v>480</v>
      </c>
      <c r="H68" s="610" t="s">
        <v>647</v>
      </c>
      <c r="I68" s="1779"/>
      <c r="J68" s="1734"/>
      <c r="K68" s="1734"/>
      <c r="L68" s="1734"/>
      <c r="M68" s="1734"/>
      <c r="N68" s="1734"/>
      <c r="O68" s="545"/>
    </row>
    <row r="69" spans="1:15" ht="18" customHeight="1" thickTop="1" thickBot="1" x14ac:dyDescent="0.35">
      <c r="A69" s="864"/>
      <c r="B69" s="651"/>
      <c r="C69" s="614"/>
      <c r="D69" s="1757"/>
      <c r="E69" s="871" t="s">
        <v>66</v>
      </c>
      <c r="F69" s="608" t="s">
        <v>481</v>
      </c>
      <c r="G69" s="647" t="s">
        <v>482</v>
      </c>
      <c r="H69" s="610" t="s">
        <v>93</v>
      </c>
      <c r="I69" s="1728"/>
      <c r="J69" s="1734"/>
      <c r="K69" s="1734"/>
      <c r="L69" s="1734"/>
      <c r="M69" s="1734"/>
      <c r="N69" s="1734"/>
      <c r="O69" s="545"/>
    </row>
    <row r="70" spans="1:15" ht="21" thickTop="1" thickBot="1" x14ac:dyDescent="0.35">
      <c r="A70" s="864"/>
      <c r="B70" s="651"/>
      <c r="C70" s="614"/>
      <c r="D70" s="1755" t="s">
        <v>498</v>
      </c>
      <c r="E70" s="871"/>
      <c r="F70" s="608" t="s">
        <v>485</v>
      </c>
      <c r="G70" s="647" t="s">
        <v>486</v>
      </c>
      <c r="H70" s="610" t="s">
        <v>93</v>
      </c>
      <c r="I70" s="1728"/>
      <c r="J70" s="1734"/>
      <c r="K70" s="1734"/>
      <c r="L70" s="1734"/>
      <c r="M70" s="1734"/>
      <c r="N70" s="1734"/>
      <c r="O70" s="545"/>
    </row>
    <row r="71" spans="1:15" ht="20.25" customHeight="1" thickTop="1" thickBot="1" x14ac:dyDescent="0.35">
      <c r="A71" s="864"/>
      <c r="B71" s="651"/>
      <c r="C71" s="614"/>
      <c r="D71" s="1756"/>
      <c r="E71" s="871"/>
      <c r="F71" s="608" t="s">
        <v>488</v>
      </c>
      <c r="G71" s="647" t="s">
        <v>487</v>
      </c>
      <c r="H71" s="610" t="s">
        <v>93</v>
      </c>
      <c r="I71" s="1728"/>
      <c r="J71" s="1734"/>
      <c r="K71" s="1734"/>
      <c r="L71" s="1734"/>
      <c r="M71" s="1734"/>
      <c r="N71" s="1734"/>
      <c r="O71" s="545"/>
    </row>
    <row r="72" spans="1:15" ht="16.5" customHeight="1" thickTop="1" thickBot="1" x14ac:dyDescent="0.55000000000000004">
      <c r="A72" s="864"/>
      <c r="B72" s="651"/>
      <c r="C72" s="614"/>
      <c r="D72" s="1756"/>
      <c r="E72" s="879" t="s">
        <v>295</v>
      </c>
      <c r="F72" s="608" t="s">
        <v>489</v>
      </c>
      <c r="G72" s="642" t="s">
        <v>490</v>
      </c>
      <c r="H72" s="610" t="s">
        <v>93</v>
      </c>
      <c r="I72" s="1728"/>
      <c r="J72" s="1734"/>
      <c r="K72" s="1734"/>
      <c r="L72" s="1734"/>
      <c r="M72" s="1734"/>
      <c r="N72" s="1734"/>
      <c r="O72" s="545"/>
    </row>
    <row r="73" spans="1:15" ht="15.75" customHeight="1" thickTop="1" thickBot="1" x14ac:dyDescent="0.35">
      <c r="A73" s="864"/>
      <c r="B73" s="651"/>
      <c r="C73" s="614"/>
      <c r="D73" s="652" t="s">
        <v>499</v>
      </c>
      <c r="E73" s="879"/>
      <c r="F73" s="608" t="s">
        <v>491</v>
      </c>
      <c r="G73" s="609" t="s">
        <v>492</v>
      </c>
      <c r="H73" s="610" t="s">
        <v>93</v>
      </c>
      <c r="I73" s="1728" t="s">
        <v>493</v>
      </c>
      <c r="J73" s="1734"/>
      <c r="K73" s="1734"/>
      <c r="L73" s="1734"/>
      <c r="M73" s="1734"/>
      <c r="N73" s="1734"/>
      <c r="O73" s="545"/>
    </row>
    <row r="74" spans="1:15" ht="17.25" customHeight="1" thickTop="1" thickBot="1" x14ac:dyDescent="0.35">
      <c r="A74" s="864"/>
      <c r="B74" s="653"/>
      <c r="C74" s="620"/>
      <c r="D74" s="635" t="s">
        <v>406</v>
      </c>
      <c r="E74" s="870" t="s">
        <v>297</v>
      </c>
      <c r="F74" s="648" t="s">
        <v>407</v>
      </c>
      <c r="G74" s="588" t="s">
        <v>42</v>
      </c>
      <c r="H74" s="589" t="s">
        <v>503</v>
      </c>
      <c r="I74" s="1750"/>
      <c r="J74" s="1766"/>
      <c r="K74" s="1766"/>
      <c r="L74" s="1766"/>
      <c r="M74" s="1766"/>
      <c r="N74" s="568"/>
      <c r="O74" s="545"/>
    </row>
    <row r="75" spans="1:15" ht="22.5" customHeight="1" thickTop="1" thickBot="1" x14ac:dyDescent="0.35">
      <c r="A75" s="864"/>
      <c r="B75" s="612"/>
      <c r="C75" s="614"/>
      <c r="D75" s="645" t="s">
        <v>886</v>
      </c>
      <c r="E75" s="870" t="s">
        <v>298</v>
      </c>
      <c r="F75" s="608" t="s">
        <v>408</v>
      </c>
      <c r="G75" s="610" t="s">
        <v>882</v>
      </c>
      <c r="H75" s="610" t="s">
        <v>78</v>
      </c>
      <c r="I75" s="567"/>
      <c r="J75" s="568"/>
      <c r="K75" s="568"/>
      <c r="L75" s="568"/>
      <c r="M75" s="568"/>
      <c r="N75" s="568"/>
      <c r="O75" s="545"/>
    </row>
    <row r="76" spans="1:15" ht="21" customHeight="1" thickTop="1" thickBot="1" x14ac:dyDescent="0.35">
      <c r="A76" s="864"/>
      <c r="B76" s="612"/>
      <c r="C76" s="614"/>
      <c r="D76" s="645" t="s">
        <v>887</v>
      </c>
      <c r="E76" s="870" t="s">
        <v>302</v>
      </c>
      <c r="F76" s="608" t="s">
        <v>888</v>
      </c>
      <c r="G76" s="610" t="s">
        <v>883</v>
      </c>
      <c r="H76" s="610" t="s">
        <v>78</v>
      </c>
      <c r="I76" s="567"/>
      <c r="J76" s="568"/>
      <c r="K76" s="568"/>
      <c r="L76" s="568"/>
      <c r="M76" s="568"/>
      <c r="N76" s="568"/>
      <c r="O76" s="545"/>
    </row>
    <row r="77" spans="1:15" ht="23.25" customHeight="1" thickTop="1" thickBot="1" x14ac:dyDescent="0.35">
      <c r="A77" s="864"/>
      <c r="B77" s="612"/>
      <c r="C77" s="614"/>
      <c r="D77" s="645" t="s">
        <v>895</v>
      </c>
      <c r="E77" s="874" t="s">
        <v>885</v>
      </c>
      <c r="F77" s="650" t="s">
        <v>409</v>
      </c>
      <c r="G77" s="562" t="s">
        <v>896</v>
      </c>
      <c r="H77" s="562" t="s">
        <v>78</v>
      </c>
      <c r="I77" s="567"/>
      <c r="J77" s="568"/>
      <c r="K77" s="568"/>
      <c r="L77" s="568"/>
      <c r="M77" s="568"/>
      <c r="N77" s="568"/>
      <c r="O77" s="545"/>
    </row>
    <row r="78" spans="1:15" ht="31.5" customHeight="1" thickTop="1" thickBot="1" x14ac:dyDescent="0.35">
      <c r="A78" s="864"/>
      <c r="B78" s="612">
        <v>8</v>
      </c>
      <c r="C78" s="614"/>
      <c r="D78" s="654" t="s">
        <v>471</v>
      </c>
      <c r="E78" s="869" t="s">
        <v>69</v>
      </c>
      <c r="F78" s="655" t="s">
        <v>411</v>
      </c>
      <c r="G78" s="633" t="s">
        <v>472</v>
      </c>
      <c r="H78" s="633" t="s">
        <v>78</v>
      </c>
      <c r="I78" s="546"/>
      <c r="J78" s="555"/>
      <c r="K78" s="555"/>
      <c r="L78" s="555"/>
      <c r="M78" s="555"/>
      <c r="N78" s="555"/>
      <c r="O78" s="545"/>
    </row>
    <row r="79" spans="1:15" ht="20.25" customHeight="1" thickTop="1" thickBot="1" x14ac:dyDescent="0.35">
      <c r="A79" s="864"/>
      <c r="B79" s="612"/>
      <c r="C79" s="614"/>
      <c r="D79" s="626" t="s">
        <v>473</v>
      </c>
      <c r="E79" s="874" t="s">
        <v>475</v>
      </c>
      <c r="F79" s="656" t="s">
        <v>412</v>
      </c>
      <c r="G79" s="1390" t="s">
        <v>474</v>
      </c>
      <c r="H79" s="640" t="s">
        <v>78</v>
      </c>
      <c r="I79" s="1761" t="s">
        <v>849</v>
      </c>
      <c r="J79" s="1762"/>
      <c r="K79" s="1762"/>
      <c r="L79" s="1762"/>
      <c r="M79" s="1762"/>
      <c r="N79" s="1763"/>
      <c r="O79" s="545"/>
    </row>
    <row r="80" spans="1:15" ht="21.75" customHeight="1" thickTop="1" thickBot="1" x14ac:dyDescent="0.35">
      <c r="A80" s="864"/>
      <c r="B80" s="629">
        <v>9</v>
      </c>
      <c r="C80" s="620"/>
      <c r="D80" s="635" t="s">
        <v>413</v>
      </c>
      <c r="E80" s="869" t="s">
        <v>71</v>
      </c>
      <c r="F80" s="617" t="s">
        <v>414</v>
      </c>
      <c r="G80" s="628" t="s">
        <v>59</v>
      </c>
      <c r="H80" s="604" t="s">
        <v>51</v>
      </c>
      <c r="I80" s="546"/>
      <c r="J80" s="555"/>
      <c r="K80" s="555"/>
      <c r="L80" s="555"/>
      <c r="M80" s="555"/>
      <c r="N80" s="555"/>
      <c r="O80" s="545"/>
    </row>
    <row r="81" spans="1:15" ht="27.75" customHeight="1" thickTop="1" thickBot="1" x14ac:dyDescent="0.35">
      <c r="A81" s="864"/>
      <c r="B81" s="660">
        <v>10</v>
      </c>
      <c r="C81" s="661"/>
      <c r="D81" s="1758" t="str">
        <f>IF($H$9=1,"O dimensionamento está concluído se os ramais principais cumprirem com os limites de perda de carga dinâmica e velocidade de escoamento aplicáveis.",IF($H$9=2,"O dimensionamento está concluído se os ramais principais cumprirem com os limites de perda de carga dinâmica e velocidade de escoamento aplicáveis e a instalação cumprir com as necessidades de pressão e caudal aplicáveis (ver Quadro 6).",""))</f>
        <v>O dimensionamento está concluído se os ramais principais cumprirem com os limites de perda de carga dinâmica e velocidade de escoamento aplicáveis e a instalação cumprir com as necessidades de pressão e caudal aplicáveis (ver Quadro 6).</v>
      </c>
      <c r="E81" s="1759"/>
      <c r="F81" s="1759"/>
      <c r="G81" s="1759"/>
      <c r="H81" s="1760"/>
      <c r="I81" s="1764" t="s">
        <v>469</v>
      </c>
      <c r="J81" s="1765"/>
      <c r="K81" s="1765"/>
      <c r="L81" s="1765"/>
      <c r="M81" s="1765"/>
      <c r="N81" s="1765"/>
      <c r="O81" s="545"/>
    </row>
    <row r="82" spans="1:15" ht="31.5" customHeight="1" thickTop="1" thickBot="1" x14ac:dyDescent="0.35">
      <c r="A82" s="864"/>
      <c r="B82" s="612">
        <v>11</v>
      </c>
      <c r="C82" s="614"/>
      <c r="D82" s="1297" t="s">
        <v>651</v>
      </c>
      <c r="E82" s="869"/>
      <c r="F82" s="894" t="s">
        <v>652</v>
      </c>
      <c r="G82" s="896" t="s">
        <v>653</v>
      </c>
      <c r="H82" s="895" t="s">
        <v>78</v>
      </c>
      <c r="I82" s="1769" t="s">
        <v>654</v>
      </c>
      <c r="J82" s="1770"/>
      <c r="K82" s="1770"/>
      <c r="L82" s="1770"/>
      <c r="M82" s="1770"/>
      <c r="N82" s="1770"/>
      <c r="O82" s="545"/>
    </row>
    <row r="83" spans="1:15" ht="19.5" customHeight="1" thickTop="1" thickBot="1" x14ac:dyDescent="0.35">
      <c r="A83" s="864"/>
      <c r="B83" s="612">
        <v>12</v>
      </c>
      <c r="C83" s="614"/>
      <c r="D83" s="657" t="s">
        <v>415</v>
      </c>
      <c r="E83" s="869" t="s">
        <v>420</v>
      </c>
      <c r="F83" s="655" t="s">
        <v>416</v>
      </c>
      <c r="G83" s="658" t="s">
        <v>417</v>
      </c>
      <c r="H83" s="633" t="s">
        <v>78</v>
      </c>
      <c r="I83" s="1728"/>
      <c r="J83" s="1767"/>
      <c r="K83" s="1767"/>
      <c r="L83" s="1767"/>
      <c r="M83" s="1767"/>
      <c r="N83" s="1767"/>
      <c r="O83" s="545"/>
    </row>
    <row r="84" spans="1:15" ht="18.75" customHeight="1" thickTop="1" thickBot="1" x14ac:dyDescent="0.35">
      <c r="A84" s="864"/>
      <c r="B84" s="612"/>
      <c r="C84" s="614"/>
      <c r="D84" s="892" t="s">
        <v>470</v>
      </c>
      <c r="E84" s="870" t="s">
        <v>421</v>
      </c>
      <c r="F84" s="608" t="s">
        <v>418</v>
      </c>
      <c r="G84" s="647" t="s">
        <v>419</v>
      </c>
      <c r="H84" s="610" t="s">
        <v>93</v>
      </c>
      <c r="I84" s="1728"/>
      <c r="J84" s="1767"/>
      <c r="K84" s="1767"/>
      <c r="L84" s="1767"/>
      <c r="M84" s="1767"/>
      <c r="N84" s="1767"/>
      <c r="O84" s="545"/>
    </row>
    <row r="85" spans="1:15" ht="24.75" customHeight="1" thickTop="1" thickBot="1" x14ac:dyDescent="0.35">
      <c r="A85" s="864"/>
      <c r="B85" s="612"/>
      <c r="C85" s="614"/>
      <c r="D85" s="626" t="s">
        <v>679</v>
      </c>
      <c r="E85" s="868" t="s">
        <v>535</v>
      </c>
      <c r="F85" s="617" t="s">
        <v>538</v>
      </c>
      <c r="G85" s="659" t="s">
        <v>537</v>
      </c>
      <c r="H85" s="604" t="s">
        <v>536</v>
      </c>
      <c r="I85" s="1768"/>
      <c r="J85" s="1762"/>
      <c r="K85" s="1762"/>
      <c r="L85" s="1762"/>
      <c r="M85" s="1762"/>
      <c r="N85" s="1762"/>
      <c r="O85" s="545"/>
    </row>
    <row r="86" spans="1:15" ht="21.75" customHeight="1" thickTop="1" thickBot="1" x14ac:dyDescent="0.35">
      <c r="A86" s="864"/>
      <c r="B86" s="612">
        <v>13</v>
      </c>
      <c r="C86" s="614"/>
      <c r="D86" s="691" t="s">
        <v>466</v>
      </c>
      <c r="E86" s="868" t="s">
        <v>80</v>
      </c>
      <c r="F86" s="694" t="s">
        <v>404</v>
      </c>
      <c r="G86" s="602" t="s">
        <v>467</v>
      </c>
      <c r="H86" s="602" t="s">
        <v>39</v>
      </c>
      <c r="I86" s="1764" t="s">
        <v>468</v>
      </c>
      <c r="J86" s="1765"/>
      <c r="K86" s="1765"/>
      <c r="L86" s="1765"/>
      <c r="M86" s="1765"/>
      <c r="N86" s="1765"/>
      <c r="O86" s="545"/>
    </row>
    <row r="87" spans="1:15" ht="15.75" customHeight="1" thickTop="1" thickBot="1" x14ac:dyDescent="0.35">
      <c r="A87" s="864"/>
      <c r="B87" s="570"/>
      <c r="C87" s="569"/>
      <c r="D87" s="571" t="s">
        <v>870</v>
      </c>
      <c r="E87" s="572"/>
      <c r="F87" s="573"/>
      <c r="G87" s="544"/>
      <c r="H87" s="543"/>
      <c r="I87" s="543"/>
      <c r="J87" s="543"/>
      <c r="K87" s="543"/>
      <c r="L87" s="543"/>
      <c r="M87" s="543"/>
      <c r="N87" s="543"/>
      <c r="O87" s="543"/>
    </row>
    <row r="88" spans="1:15" ht="3.75" customHeight="1" thickTop="1" thickBot="1" x14ac:dyDescent="0.35">
      <c r="A88" s="864"/>
      <c r="B88" s="574"/>
      <c r="L88" s="543"/>
      <c r="M88" s="543"/>
      <c r="N88" s="543"/>
      <c r="O88" s="543"/>
    </row>
    <row r="89" spans="1:15" ht="9.75" customHeight="1" thickTop="1" thickBot="1" x14ac:dyDescent="0.35">
      <c r="A89" s="866"/>
      <c r="B89" s="856"/>
      <c r="C89" s="856"/>
      <c r="D89" s="856"/>
      <c r="E89" s="856"/>
      <c r="F89" s="856"/>
      <c r="G89" s="856"/>
      <c r="H89" s="856"/>
      <c r="I89" s="856"/>
      <c r="J89" s="856"/>
      <c r="K89" s="856"/>
      <c r="L89" s="867"/>
    </row>
    <row r="90" spans="1:15" ht="6.75" customHeight="1" thickTop="1" x14ac:dyDescent="0.3"/>
    <row r="93" spans="1:15" x14ac:dyDescent="0.3">
      <c r="E93" s="526"/>
    </row>
  </sheetData>
  <sheetProtection algorithmName="SHA-512" hashValue="R4AI+/jHPD/DDggloWWEJbkmQYnR4DN56uXdKq/T39KVWCA7nCJDzBMw80KOB5VqtTeUxAf+q1x5cCIG+Ckucg==" saltValue="P4lR9Bf/X3UICPBgej8Jbw==" spinCount="100000" sheet="1" objects="1" scenarios="1"/>
  <mergeCells count="77">
    <mergeCell ref="E63:E64"/>
    <mergeCell ref="E61:E62"/>
    <mergeCell ref="B42:B43"/>
    <mergeCell ref="I18:N18"/>
    <mergeCell ref="F35:F36"/>
    <mergeCell ref="G35:G36"/>
    <mergeCell ref="H35:H36"/>
    <mergeCell ref="I19:N19"/>
    <mergeCell ref="I53:N53"/>
    <mergeCell ref="I50:N50"/>
    <mergeCell ref="I52:N52"/>
    <mergeCell ref="I40:N40"/>
    <mergeCell ref="I43:N43"/>
    <mergeCell ref="I26:N26"/>
    <mergeCell ref="I20:N20"/>
    <mergeCell ref="I42:N42"/>
    <mergeCell ref="B13:B14"/>
    <mergeCell ref="D14:D17"/>
    <mergeCell ref="E13:E17"/>
    <mergeCell ref="D59:D60"/>
    <mergeCell ref="D57:D58"/>
    <mergeCell ref="B34:B35"/>
    <mergeCell ref="D34:D37"/>
    <mergeCell ref="D42:D44"/>
    <mergeCell ref="B19:B20"/>
    <mergeCell ref="I34:N34"/>
    <mergeCell ref="I41:N41"/>
    <mergeCell ref="I70:N70"/>
    <mergeCell ref="I71:N71"/>
    <mergeCell ref="I72:N72"/>
    <mergeCell ref="I58:N58"/>
    <mergeCell ref="I44:J45"/>
    <mergeCell ref="K44:N45"/>
    <mergeCell ref="I68:N68"/>
    <mergeCell ref="I66:N67"/>
    <mergeCell ref="I56:N56"/>
    <mergeCell ref="I57:N57"/>
    <mergeCell ref="I54:N54"/>
    <mergeCell ref="I59:N59"/>
    <mergeCell ref="I55:N55"/>
    <mergeCell ref="I65:N65"/>
    <mergeCell ref="D70:D72"/>
    <mergeCell ref="D68:D69"/>
    <mergeCell ref="D81:H81"/>
    <mergeCell ref="I79:N79"/>
    <mergeCell ref="I86:N86"/>
    <mergeCell ref="I74:M74"/>
    <mergeCell ref="I83:N83"/>
    <mergeCell ref="I84:N84"/>
    <mergeCell ref="I85:N85"/>
    <mergeCell ref="I69:N69"/>
    <mergeCell ref="I73:N73"/>
    <mergeCell ref="I82:N82"/>
    <mergeCell ref="I81:N81"/>
    <mergeCell ref="I46:M46"/>
    <mergeCell ref="K47:N47"/>
    <mergeCell ref="I49:M49"/>
    <mergeCell ref="I51:N51"/>
    <mergeCell ref="I64:N64"/>
    <mergeCell ref="I63:N63"/>
    <mergeCell ref="I61:N62"/>
    <mergeCell ref="I22:N22"/>
    <mergeCell ref="I33:N33"/>
    <mergeCell ref="I21:N21"/>
    <mergeCell ref="I28:N28"/>
    <mergeCell ref="I30:N30"/>
    <mergeCell ref="I31:N31"/>
    <mergeCell ref="I23:N23"/>
    <mergeCell ref="I32:N32"/>
    <mergeCell ref="I27:N27"/>
    <mergeCell ref="I29:N29"/>
    <mergeCell ref="F63:F64"/>
    <mergeCell ref="G63:G64"/>
    <mergeCell ref="H63:H64"/>
    <mergeCell ref="F61:F62"/>
    <mergeCell ref="G61:G62"/>
    <mergeCell ref="H61:H62"/>
  </mergeCells>
  <phoneticPr fontId="87" type="noConversion"/>
  <pageMargins left="0.62992125984251968" right="0.19685039370078741" top="0.31496062992125984" bottom="0.31496062992125984" header="0" footer="0"/>
  <pageSetup paperSize="9" scale="50" orientation="portrait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lha10">
    <tabColor theme="5"/>
  </sheetPr>
  <dimension ref="B1:J34"/>
  <sheetViews>
    <sheetView showGridLines="0" showRowColHeaders="0" zoomScale="110" zoomScaleNormal="110" workbookViewId="0">
      <selection activeCell="B24" sqref="B24"/>
    </sheetView>
  </sheetViews>
  <sheetFormatPr defaultColWidth="9.15234375" defaultRowHeight="12.45" x14ac:dyDescent="0.3"/>
  <cols>
    <col min="1" max="1" width="13.3046875" style="575" customWidth="1"/>
    <col min="2" max="2" width="9.15234375" style="575"/>
    <col min="3" max="3" width="9" style="575" customWidth="1"/>
    <col min="4" max="4" width="4" style="575" customWidth="1"/>
    <col min="5" max="10" width="12.3046875" style="575" customWidth="1"/>
    <col min="11" max="11" width="2.3046875" style="575" customWidth="1"/>
    <col min="12" max="12" width="12.3046875" style="575" customWidth="1"/>
    <col min="13" max="16384" width="9.15234375" style="575"/>
  </cols>
  <sheetData>
    <row r="1" ht="43.5" customHeight="1" x14ac:dyDescent="0.3"/>
    <row r="23" spans="2:10" ht="14.6" thickBot="1" x14ac:dyDescent="0.4">
      <c r="B23" s="576"/>
      <c r="C23" s="576"/>
      <c r="D23" s="576"/>
      <c r="E23" s="583"/>
      <c r="F23" s="583"/>
      <c r="G23" s="584"/>
      <c r="H23" s="584"/>
      <c r="I23" s="584"/>
      <c r="J23" s="584"/>
    </row>
    <row r="24" spans="2:10" ht="22.5" customHeight="1" thickTop="1" thickBot="1" x14ac:dyDescent="0.35">
      <c r="B24" s="1134"/>
      <c r="C24" s="585"/>
      <c r="D24" s="586"/>
      <c r="E24" s="577" t="s">
        <v>315</v>
      </c>
      <c r="F24" s="1280" t="str">
        <f>IF($B24="","",$B24*0.01)</f>
        <v/>
      </c>
      <c r="G24" s="1280" t="str">
        <f>IF($B24="","",$B24*0.0102)</f>
        <v/>
      </c>
      <c r="H24" s="1280" t="str">
        <f>IF($B24="","",$B24*0.102)</f>
        <v/>
      </c>
      <c r="I24" s="1280" t="str">
        <f>IF($B24="","",$B24*0.0987)</f>
        <v/>
      </c>
      <c r="J24" s="1280" t="str">
        <f>IF($B24="","",$B24*0.145)</f>
        <v/>
      </c>
    </row>
    <row r="25" spans="2:10" ht="22.5" customHeight="1" thickTop="1" thickBot="1" x14ac:dyDescent="0.35">
      <c r="B25" s="1134"/>
      <c r="C25" s="585"/>
      <c r="D25" s="586"/>
      <c r="E25" s="1280" t="str">
        <f>IF($B25="","",$B25*100)</f>
        <v/>
      </c>
      <c r="F25" s="577" t="s">
        <v>315</v>
      </c>
      <c r="G25" s="1280" t="str">
        <f>IF($B25="","",$B25*1.0197)</f>
        <v/>
      </c>
      <c r="H25" s="1280" t="str">
        <f>IF($B25="","",$B25*10.197)</f>
        <v/>
      </c>
      <c r="I25" s="1280" t="str">
        <f>IF($B25="","",$B25*0.987)</f>
        <v/>
      </c>
      <c r="J25" s="1280" t="str">
        <f>IF($B25="","",$B25*14.505)</f>
        <v/>
      </c>
    </row>
    <row r="26" spans="2:10" ht="22.5" customHeight="1" thickTop="1" thickBot="1" x14ac:dyDescent="0.35">
      <c r="B26" s="1134"/>
      <c r="C26" s="585"/>
      <c r="D26" s="586"/>
      <c r="E26" s="1280" t="str">
        <f>IF($B26="","",$B26*98.1)</f>
        <v/>
      </c>
      <c r="F26" s="1280" t="str">
        <f>IF($B26="","",$B26*0.9807)</f>
        <v/>
      </c>
      <c r="G26" s="577" t="s">
        <v>315</v>
      </c>
      <c r="H26" s="1280" t="str">
        <f>IF($B26="","",$B26*10)</f>
        <v/>
      </c>
      <c r="I26" s="1280" t="str">
        <f>IF($B26="","",$B26*0.968)</f>
        <v/>
      </c>
      <c r="J26" s="1280" t="str">
        <f>IF($B26="","",$B26*14.22)</f>
        <v/>
      </c>
    </row>
    <row r="27" spans="2:10" ht="22.5" customHeight="1" thickTop="1" thickBot="1" x14ac:dyDescent="0.35">
      <c r="B27" s="1134"/>
      <c r="C27" s="585"/>
      <c r="D27" s="586"/>
      <c r="E27" s="1280" t="str">
        <f>IF($B27="","",$B27*9.81)</f>
        <v/>
      </c>
      <c r="F27" s="1280" t="str">
        <f>IF($B27="","",$B27*0.09807)</f>
        <v/>
      </c>
      <c r="G27" s="1280" t="str">
        <f>IF($B27="","",$B27*0.1)</f>
        <v/>
      </c>
      <c r="H27" s="577" t="s">
        <v>315</v>
      </c>
      <c r="I27" s="1280" t="str">
        <f>IF($B27="","",$B27*0.09678)</f>
        <v/>
      </c>
      <c r="J27" s="1280" t="str">
        <f>IF($B27="","",$B27*1.4225)</f>
        <v/>
      </c>
    </row>
    <row r="28" spans="2:10" ht="22.5" customHeight="1" thickTop="1" thickBot="1" x14ac:dyDescent="0.35">
      <c r="B28" s="1134"/>
      <c r="C28" s="585"/>
      <c r="D28" s="586"/>
      <c r="E28" s="1280" t="str">
        <f>IF($B28="","",$B28*101.3)</f>
        <v/>
      </c>
      <c r="F28" s="1281" t="str">
        <f>IF($B28="","",$B28*1.013)</f>
        <v/>
      </c>
      <c r="G28" s="1281" t="str">
        <f>IF($B28="","",$B28*1.033)</f>
        <v/>
      </c>
      <c r="H28" s="1280" t="str">
        <f>IF($B28="","",$B28*10.33)</f>
        <v/>
      </c>
      <c r="I28" s="577" t="s">
        <v>315</v>
      </c>
      <c r="J28" s="1280" t="str">
        <f>IF($B28="","",$B28*14.652)</f>
        <v/>
      </c>
    </row>
    <row r="29" spans="2:10" ht="22.5" customHeight="1" thickTop="1" thickBot="1" x14ac:dyDescent="0.35">
      <c r="B29" s="1134"/>
      <c r="C29" s="585"/>
      <c r="D29" s="586"/>
      <c r="E29" s="1280" t="str">
        <f>IF($B29="","",$B29*6.895)</f>
        <v/>
      </c>
      <c r="F29" s="1280" t="str">
        <f>IF($B29="","",$B29*0.06805)</f>
        <v/>
      </c>
      <c r="G29" s="1280" t="str">
        <f>IF($B29="","",$B29*0.0703)</f>
        <v/>
      </c>
      <c r="H29" s="1280" t="str">
        <f>IF($B29="","",$B29*0.703)</f>
        <v/>
      </c>
      <c r="I29" s="1280" t="str">
        <f>IF($B29="","",$B29*0.06894)</f>
        <v/>
      </c>
      <c r="J29" s="577" t="s">
        <v>315</v>
      </c>
    </row>
    <row r="30" spans="2:10" ht="21" customHeight="1" thickTop="1" x14ac:dyDescent="0.3"/>
    <row r="31" spans="2:10" ht="21" customHeight="1" x14ac:dyDescent="0.3"/>
    <row r="32" spans="2:10" ht="21" customHeight="1" x14ac:dyDescent="0.3"/>
    <row r="33" ht="21" customHeight="1" x14ac:dyDescent="0.3"/>
    <row r="34" ht="21" customHeight="1" x14ac:dyDescent="0.3"/>
  </sheetData>
  <sheetProtection algorithmName="SHA-512" hashValue="bPHwq4Sqg7Y8FAhp/O4qEfYHoifM5Q+9VpaeE8EoF/qvTbMcuiNfckz45h3VqTrQBCgBr5yFTqzX8FFavvhzmg==" saltValue="DaLV/SqtZIdAhxh6Sc/iMQ==" spinCount="100000" sheet="1" objects="1" scenarios="1"/>
  <phoneticPr fontId="87" type="noConversion"/>
  <pageMargins left="0.65" right="0.52" top="0.87" bottom="0.79" header="0.6" footer="0.48"/>
  <pageSetup paperSize="9" scale="75" orientation="portrait" r:id="rId1"/>
  <headerFooter alignWithMargins="0">
    <oddHeader>&amp;L&amp;12&amp;F</oddHeader>
    <oddFooter>&amp;L&amp;12&amp;A&amp;R&amp;12APTA - Associação de Produtores de Tubos e Acessórios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13">
    <tabColor theme="5" tint="-0.249977111117893"/>
  </sheetPr>
  <dimension ref="A1:BO147"/>
  <sheetViews>
    <sheetView showGridLines="0" showRowColHeaders="0" zoomScale="110" zoomScaleNormal="110" workbookViewId="0">
      <selection activeCell="B2" sqref="B2"/>
    </sheetView>
  </sheetViews>
  <sheetFormatPr defaultColWidth="9.15234375" defaultRowHeight="12.45" x14ac:dyDescent="0.3"/>
  <cols>
    <col min="1" max="1" width="2" style="929" customWidth="1"/>
    <col min="2" max="2" width="3.15234375" style="929" customWidth="1"/>
    <col min="3" max="3" width="6.53515625" style="929" customWidth="1"/>
    <col min="4" max="4" width="7.3828125" style="934" customWidth="1"/>
    <col min="5" max="5" width="8.84375" style="929" customWidth="1"/>
    <col min="6" max="6" width="10.3046875" style="929" customWidth="1"/>
    <col min="7" max="7" width="6.69140625" style="929" customWidth="1"/>
    <col min="8" max="8" width="7.53515625" style="929" customWidth="1"/>
    <col min="9" max="9" width="6.53515625" style="929" customWidth="1"/>
    <col min="10" max="10" width="8.3046875" style="929" customWidth="1"/>
    <col min="11" max="12" width="7.3828125" style="929" customWidth="1"/>
    <col min="13" max="13" width="8.69140625" style="929" customWidth="1"/>
    <col min="14" max="14" width="7.15234375" style="929" customWidth="1"/>
    <col min="15" max="15" width="8.15234375" style="929" customWidth="1"/>
    <col min="16" max="16" width="6.84375" style="929" customWidth="1"/>
    <col min="17" max="17" width="6.15234375" style="929" customWidth="1"/>
    <col min="18" max="18" width="5.3828125" style="929" customWidth="1"/>
    <col min="19" max="19" width="5.69140625" style="929" customWidth="1"/>
    <col min="20" max="20" width="7.84375" style="929" customWidth="1"/>
    <col min="21" max="21" width="27" style="929" customWidth="1"/>
    <col min="22" max="22" width="1.53515625" style="929" customWidth="1"/>
    <col min="23" max="23" width="5.69140625" style="925" hidden="1" customWidth="1"/>
    <col min="24" max="24" width="5.3046875" style="925" hidden="1" customWidth="1"/>
    <col min="25" max="25" width="7.84375" style="925" hidden="1" customWidth="1"/>
    <col min="26" max="26" width="5.3828125" style="925" hidden="1" customWidth="1"/>
    <col min="27" max="27" width="7.84375" style="925" hidden="1" customWidth="1"/>
    <col min="28" max="29" width="9.15234375" style="925" hidden="1" customWidth="1"/>
    <col min="30" max="30" width="5.84375" style="925" hidden="1" customWidth="1"/>
    <col min="31" max="31" width="5.15234375" style="925" hidden="1" customWidth="1"/>
    <col min="32" max="32" width="7.3046875" style="925" hidden="1" customWidth="1"/>
    <col min="33" max="33" width="8.15234375" style="925" hidden="1" customWidth="1"/>
    <col min="34" max="34" width="9.15234375" style="925" hidden="1" customWidth="1"/>
    <col min="35" max="35" width="8.15234375" style="925" hidden="1" customWidth="1"/>
    <col min="36" max="36" width="5.3828125" style="925" hidden="1" customWidth="1"/>
    <col min="37" max="38" width="7.3046875" style="925" hidden="1" customWidth="1"/>
    <col min="39" max="39" width="6.53515625" style="925" hidden="1" customWidth="1"/>
    <col min="40" max="40" width="7" style="925" hidden="1" customWidth="1"/>
    <col min="41" max="53" width="9.15234375" style="925" hidden="1" customWidth="1"/>
    <col min="54" max="54" width="9.15234375" style="925" customWidth="1"/>
    <col min="55" max="67" width="9.15234375" style="925"/>
    <col min="68" max="16384" width="9.15234375" style="929"/>
  </cols>
  <sheetData>
    <row r="1" spans="1:67" ht="6.75" customHeight="1" x14ac:dyDescent="0.3">
      <c r="A1" s="996"/>
    </row>
    <row r="2" spans="1:67" ht="18.75" customHeight="1" x14ac:dyDescent="0.3">
      <c r="A2" s="996"/>
      <c r="C2" s="1349"/>
      <c r="D2" s="1350"/>
      <c r="E2" s="1350"/>
      <c r="F2" s="1350"/>
      <c r="G2" s="1350"/>
      <c r="H2" s="1350"/>
      <c r="I2" s="1350"/>
      <c r="J2" s="1350"/>
      <c r="K2" s="1350"/>
      <c r="L2" s="1350"/>
      <c r="M2" s="1350"/>
      <c r="N2" s="1350"/>
      <c r="O2" s="1350"/>
      <c r="P2" s="1350"/>
      <c r="Q2" s="1350"/>
      <c r="R2" s="1350"/>
      <c r="S2" s="1350"/>
      <c r="T2" s="1350"/>
    </row>
    <row r="3" spans="1:67" ht="7.5" customHeight="1" x14ac:dyDescent="0.3">
      <c r="A3" s="996"/>
    </row>
    <row r="4" spans="1:67" ht="14.6" x14ac:dyDescent="0.4">
      <c r="A4" s="996"/>
      <c r="C4" s="935" t="s">
        <v>699</v>
      </c>
      <c r="D4" s="936"/>
      <c r="E4" s="936"/>
      <c r="F4" s="936"/>
      <c r="G4" s="936"/>
      <c r="H4" s="936"/>
      <c r="I4" s="936"/>
      <c r="J4" s="936"/>
      <c r="K4" s="936"/>
      <c r="L4" s="936"/>
      <c r="M4" s="936"/>
      <c r="N4" s="936"/>
    </row>
    <row r="5" spans="1:67" ht="17.600000000000001" x14ac:dyDescent="0.4">
      <c r="A5" s="996"/>
      <c r="D5" s="937"/>
      <c r="E5" s="938"/>
      <c r="F5" s="938"/>
      <c r="G5" s="938"/>
      <c r="H5" s="938"/>
      <c r="I5" s="938"/>
      <c r="J5" s="938"/>
      <c r="K5" s="938"/>
      <c r="L5" s="938"/>
      <c r="M5" s="938"/>
      <c r="N5" s="938"/>
    </row>
    <row r="6" spans="1:67" x14ac:dyDescent="0.3">
      <c r="A6" s="996"/>
    </row>
    <row r="7" spans="1:67" s="934" customFormat="1" x14ac:dyDescent="0.3">
      <c r="A7" s="997"/>
      <c r="C7" s="939"/>
      <c r="E7" s="929"/>
      <c r="F7" s="929"/>
      <c r="G7" s="929"/>
      <c r="H7" s="929"/>
      <c r="I7" s="929"/>
      <c r="J7" s="929"/>
      <c r="K7" s="929"/>
      <c r="L7" s="929"/>
      <c r="M7" s="929"/>
      <c r="N7" s="929"/>
      <c r="O7" s="929"/>
      <c r="P7" s="929"/>
      <c r="Q7" s="929"/>
      <c r="R7" s="929"/>
      <c r="S7" s="929"/>
      <c r="T7" s="929"/>
      <c r="U7" s="929"/>
      <c r="V7" s="929"/>
      <c r="W7" s="925"/>
      <c r="X7" s="925"/>
      <c r="Y7" s="925"/>
      <c r="Z7" s="925"/>
      <c r="AA7" s="925"/>
      <c r="AB7" s="925"/>
      <c r="AC7" s="925"/>
      <c r="AD7" s="925"/>
      <c r="AE7" s="925"/>
      <c r="AF7" s="925"/>
      <c r="AG7" s="925"/>
      <c r="AH7" s="925"/>
      <c r="AI7" s="925"/>
      <c r="AJ7" s="925"/>
      <c r="AK7" s="925"/>
      <c r="AL7" s="925"/>
      <c r="AM7" s="925"/>
      <c r="AN7" s="925"/>
      <c r="AO7" s="940"/>
      <c r="AP7" s="940"/>
      <c r="AQ7" s="940"/>
      <c r="AR7" s="940"/>
      <c r="AS7" s="940"/>
      <c r="AT7" s="940"/>
      <c r="AU7" s="940"/>
      <c r="AV7" s="940"/>
      <c r="AW7" s="940"/>
      <c r="AX7" s="940"/>
      <c r="AY7" s="940"/>
      <c r="AZ7" s="940"/>
      <c r="BA7" s="940"/>
      <c r="BB7" s="940"/>
      <c r="BC7" s="940"/>
      <c r="BD7" s="940"/>
      <c r="BE7" s="940"/>
      <c r="BF7" s="940"/>
      <c r="BG7" s="940"/>
      <c r="BH7" s="940"/>
      <c r="BI7" s="940"/>
      <c r="BJ7" s="940"/>
      <c r="BK7" s="940"/>
      <c r="BL7" s="940"/>
      <c r="BM7" s="940"/>
      <c r="BN7" s="940"/>
      <c r="BO7" s="940"/>
    </row>
    <row r="8" spans="1:67" s="934" customFormat="1" x14ac:dyDescent="0.3">
      <c r="A8" s="997"/>
      <c r="C8" s="929"/>
      <c r="E8" s="929"/>
      <c r="F8" s="929"/>
      <c r="G8" s="929"/>
      <c r="H8" s="929"/>
      <c r="I8" s="929"/>
      <c r="J8" s="929"/>
      <c r="K8" s="929"/>
      <c r="L8" s="929"/>
      <c r="M8" s="929"/>
      <c r="N8" s="929"/>
      <c r="O8" s="929"/>
      <c r="P8" s="929"/>
      <c r="Q8" s="929"/>
      <c r="R8" s="929"/>
      <c r="S8" s="929"/>
      <c r="T8" s="929"/>
      <c r="U8" s="929"/>
      <c r="V8" s="929"/>
      <c r="W8" s="925"/>
      <c r="X8" s="925"/>
      <c r="Y8" s="925"/>
      <c r="Z8" s="925"/>
      <c r="AA8" s="925"/>
      <c r="AB8" s="925"/>
      <c r="AC8" s="925"/>
      <c r="AD8" s="925"/>
      <c r="AE8" s="925"/>
      <c r="AF8" s="925"/>
      <c r="AG8" s="925"/>
      <c r="AH8" s="925"/>
      <c r="AI8" s="925"/>
      <c r="AJ8" s="925"/>
      <c r="AK8" s="925"/>
      <c r="AL8" s="925"/>
      <c r="AM8" s="925"/>
      <c r="AN8" s="925"/>
      <c r="AO8" s="940"/>
      <c r="AP8" s="940"/>
      <c r="AQ8" s="940"/>
      <c r="AR8" s="940"/>
      <c r="AS8" s="940"/>
      <c r="AT8" s="940"/>
      <c r="AU8" s="940"/>
      <c r="AV8" s="940"/>
      <c r="AW8" s="940"/>
      <c r="AX8" s="940"/>
      <c r="AY8" s="940"/>
      <c r="AZ8" s="940"/>
      <c r="BA8" s="940"/>
      <c r="BB8" s="940"/>
      <c r="BC8" s="940"/>
      <c r="BD8" s="940"/>
      <c r="BE8" s="940"/>
      <c r="BF8" s="940"/>
      <c r="BG8" s="940"/>
      <c r="BH8" s="940"/>
      <c r="BI8" s="940"/>
      <c r="BJ8" s="940"/>
      <c r="BK8" s="940"/>
      <c r="BL8" s="940"/>
      <c r="BM8" s="940"/>
      <c r="BN8" s="940"/>
      <c r="BO8" s="940"/>
    </row>
    <row r="9" spans="1:67" s="934" customFormat="1" x14ac:dyDescent="0.3">
      <c r="A9" s="997"/>
      <c r="C9" s="929"/>
      <c r="E9" s="929"/>
      <c r="F9" s="929"/>
      <c r="G9" s="929"/>
      <c r="H9" s="929"/>
      <c r="I9" s="929"/>
      <c r="J9" s="929"/>
      <c r="K9" s="929"/>
      <c r="L9" s="929"/>
      <c r="M9" s="929"/>
      <c r="N9" s="929"/>
      <c r="O9" s="929"/>
      <c r="P9" s="929"/>
      <c r="Q9" s="929"/>
      <c r="R9" s="929"/>
      <c r="S9" s="929"/>
      <c r="T9" s="929"/>
      <c r="U9" s="929"/>
      <c r="V9" s="929"/>
      <c r="W9" s="925"/>
      <c r="X9" s="925"/>
      <c r="Y9" s="925"/>
      <c r="Z9" s="925"/>
      <c r="AA9" s="925"/>
      <c r="AB9" s="925"/>
      <c r="AC9" s="925"/>
      <c r="AD9" s="925"/>
      <c r="AE9" s="925"/>
      <c r="AF9" s="925"/>
      <c r="AG9" s="925"/>
      <c r="AH9" s="925"/>
      <c r="AI9" s="925"/>
      <c r="AJ9" s="925"/>
      <c r="AK9" s="925"/>
      <c r="AL9" s="925"/>
      <c r="AM9" s="925"/>
      <c r="AN9" s="925"/>
      <c r="AO9" s="940"/>
      <c r="AP9" s="940"/>
      <c r="AQ9" s="940"/>
      <c r="AR9" s="940"/>
      <c r="AS9" s="940"/>
      <c r="AT9" s="940"/>
      <c r="AU9" s="940"/>
      <c r="AV9" s="940"/>
      <c r="AW9" s="940"/>
      <c r="AX9" s="940"/>
      <c r="AY9" s="940"/>
      <c r="AZ9" s="940"/>
      <c r="BA9" s="940"/>
      <c r="BB9" s="940"/>
      <c r="BC9" s="940"/>
      <c r="BD9" s="940"/>
      <c r="BE9" s="940"/>
      <c r="BF9" s="940"/>
      <c r="BG9" s="940"/>
      <c r="BH9" s="940"/>
      <c r="BI9" s="940"/>
      <c r="BJ9" s="940"/>
      <c r="BK9" s="940"/>
      <c r="BL9" s="940"/>
      <c r="BM9" s="940"/>
      <c r="BN9" s="940"/>
      <c r="BO9" s="940"/>
    </row>
    <row r="10" spans="1:67" s="934" customFormat="1" x14ac:dyDescent="0.3">
      <c r="A10" s="997"/>
      <c r="C10" s="929"/>
      <c r="E10" s="929"/>
      <c r="F10" s="929"/>
      <c r="G10" s="929"/>
      <c r="H10" s="929"/>
      <c r="I10" s="929"/>
      <c r="J10" s="929"/>
      <c r="K10" s="929"/>
      <c r="L10" s="929"/>
      <c r="M10" s="929"/>
      <c r="N10" s="929"/>
      <c r="O10" s="929"/>
      <c r="P10" s="929"/>
      <c r="Q10" s="929"/>
      <c r="R10" s="929"/>
      <c r="S10" s="929"/>
      <c r="T10" s="929"/>
      <c r="U10" s="929"/>
      <c r="V10" s="929"/>
      <c r="W10" s="925"/>
      <c r="X10" s="925"/>
      <c r="Y10" s="925"/>
      <c r="Z10" s="925"/>
      <c r="AA10" s="925"/>
      <c r="AB10" s="925"/>
      <c r="AC10" s="925"/>
      <c r="AD10" s="925"/>
      <c r="AE10" s="925"/>
      <c r="AF10" s="925"/>
      <c r="AG10" s="925"/>
      <c r="AH10" s="925"/>
      <c r="AI10" s="925"/>
      <c r="AJ10" s="925"/>
      <c r="AK10" s="925"/>
      <c r="AL10" s="925"/>
      <c r="AM10" s="925"/>
      <c r="AN10" s="925"/>
      <c r="AO10" s="940"/>
      <c r="AP10" s="940"/>
      <c r="AQ10" s="940"/>
      <c r="AR10" s="940"/>
      <c r="AS10" s="940"/>
      <c r="AT10" s="940"/>
      <c r="AU10" s="940"/>
      <c r="AV10" s="940"/>
      <c r="AW10" s="940"/>
      <c r="AX10" s="940"/>
      <c r="AY10" s="940"/>
      <c r="AZ10" s="940"/>
      <c r="BA10" s="940"/>
      <c r="BB10" s="940"/>
      <c r="BC10" s="940"/>
      <c r="BD10" s="940"/>
      <c r="BE10" s="940"/>
      <c r="BF10" s="940"/>
      <c r="BG10" s="940"/>
      <c r="BH10" s="940"/>
      <c r="BI10" s="940"/>
      <c r="BJ10" s="940"/>
      <c r="BK10" s="940"/>
      <c r="BL10" s="940"/>
      <c r="BM10" s="940"/>
      <c r="BN10" s="940"/>
      <c r="BO10" s="940"/>
    </row>
    <row r="11" spans="1:67" s="934" customFormat="1" x14ac:dyDescent="0.3">
      <c r="A11" s="997"/>
      <c r="C11" s="929"/>
      <c r="E11" s="929"/>
      <c r="F11" s="929"/>
      <c r="G11" s="929"/>
      <c r="H11" s="929"/>
      <c r="I11" s="929"/>
      <c r="J11" s="929"/>
      <c r="K11" s="929"/>
      <c r="L11" s="929"/>
      <c r="M11" s="929"/>
      <c r="N11" s="929"/>
      <c r="O11" s="929"/>
      <c r="P11" s="929"/>
      <c r="Q11" s="929"/>
      <c r="R11" s="929"/>
      <c r="S11" s="929"/>
      <c r="T11" s="929"/>
      <c r="U11" s="929"/>
      <c r="V11" s="929"/>
      <c r="W11" s="925"/>
      <c r="X11" s="925"/>
      <c r="Y11" s="925"/>
      <c r="Z11" s="925"/>
      <c r="AA11" s="925"/>
      <c r="AB11" s="925"/>
      <c r="AC11" s="925"/>
      <c r="AD11" s="925"/>
      <c r="AE11" s="925"/>
      <c r="AF11" s="925"/>
      <c r="AG11" s="925"/>
      <c r="AH11" s="925"/>
      <c r="AI11" s="925"/>
      <c r="AJ11" s="925"/>
      <c r="AK11" s="925"/>
      <c r="AL11" s="925"/>
      <c r="AM11" s="925"/>
      <c r="AN11" s="925"/>
      <c r="AO11" s="940"/>
      <c r="AP11" s="940"/>
      <c r="AQ11" s="940"/>
      <c r="AR11" s="940"/>
      <c r="AS11" s="940"/>
      <c r="AT11" s="940"/>
      <c r="AU11" s="940"/>
      <c r="AV11" s="940"/>
      <c r="AW11" s="940"/>
      <c r="AX11" s="940"/>
      <c r="AY11" s="940"/>
      <c r="AZ11" s="940"/>
      <c r="BA11" s="940"/>
      <c r="BB11" s="940"/>
      <c r="BC11" s="940"/>
      <c r="BD11" s="940"/>
      <c r="BE11" s="940"/>
      <c r="BF11" s="940"/>
      <c r="BG11" s="940"/>
      <c r="BH11" s="940"/>
      <c r="BI11" s="940"/>
      <c r="BJ11" s="940"/>
      <c r="BK11" s="940"/>
      <c r="BL11" s="940"/>
      <c r="BM11" s="940"/>
      <c r="BN11" s="940"/>
      <c r="BO11" s="940"/>
    </row>
    <row r="12" spans="1:67" s="934" customFormat="1" ht="4.5" customHeight="1" x14ac:dyDescent="0.3">
      <c r="A12" s="997"/>
      <c r="C12" s="929"/>
      <c r="E12" s="929"/>
      <c r="F12" s="929"/>
      <c r="G12" s="929"/>
      <c r="H12" s="929"/>
      <c r="I12" s="929"/>
      <c r="J12" s="929"/>
      <c r="K12" s="929"/>
      <c r="L12" s="929"/>
      <c r="M12" s="929"/>
      <c r="N12" s="929"/>
      <c r="O12" s="929"/>
      <c r="P12" s="929"/>
      <c r="Q12" s="929"/>
      <c r="R12" s="929"/>
      <c r="S12" s="929"/>
      <c r="T12" s="929"/>
      <c r="U12" s="929"/>
      <c r="V12" s="929"/>
      <c r="W12" s="925"/>
      <c r="X12" s="925"/>
      <c r="Y12" s="925"/>
      <c r="Z12" s="925"/>
      <c r="AA12" s="925"/>
      <c r="AB12" s="925"/>
      <c r="AC12" s="925"/>
      <c r="AD12" s="925"/>
      <c r="AE12" s="925"/>
      <c r="AF12" s="925"/>
      <c r="AG12" s="925"/>
      <c r="AH12" s="925"/>
      <c r="AI12" s="925"/>
      <c r="AJ12" s="925"/>
      <c r="AK12" s="925"/>
      <c r="AL12" s="925"/>
      <c r="AM12" s="925"/>
      <c r="AN12" s="925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40"/>
      <c r="BI12" s="940"/>
      <c r="BJ12" s="940"/>
      <c r="BK12" s="940"/>
      <c r="BL12" s="940"/>
      <c r="BM12" s="940"/>
      <c r="BN12" s="940"/>
      <c r="BO12" s="940"/>
    </row>
    <row r="13" spans="1:67" s="934" customFormat="1" ht="14.6" x14ac:dyDescent="0.4">
      <c r="A13" s="997"/>
      <c r="C13" s="935" t="s">
        <v>700</v>
      </c>
      <c r="E13" s="929"/>
      <c r="F13" s="929"/>
      <c r="G13" s="929"/>
      <c r="H13" s="929"/>
      <c r="I13" s="929"/>
      <c r="J13" s="929"/>
      <c r="K13" s="929"/>
      <c r="L13" s="929"/>
      <c r="M13" s="929"/>
      <c r="N13" s="929"/>
      <c r="O13" s="929"/>
      <c r="P13" s="929"/>
      <c r="Q13" s="929"/>
      <c r="R13" s="929"/>
      <c r="S13" s="929"/>
      <c r="T13" s="929"/>
      <c r="U13" s="929"/>
      <c r="V13" s="929"/>
      <c r="W13" s="925"/>
      <c r="X13" s="925"/>
      <c r="Y13" s="925"/>
      <c r="Z13" s="925"/>
      <c r="AA13" s="925"/>
      <c r="AB13" s="925"/>
      <c r="AC13" s="925"/>
      <c r="AD13" s="925"/>
      <c r="AE13" s="925"/>
      <c r="AF13" s="925"/>
      <c r="AG13" s="925"/>
      <c r="AH13" s="925"/>
      <c r="AI13" s="925"/>
      <c r="AJ13" s="925"/>
      <c r="AK13" s="925"/>
      <c r="AL13" s="925"/>
      <c r="AM13" s="925"/>
      <c r="AN13" s="925"/>
      <c r="AO13" s="940"/>
      <c r="AP13" s="940"/>
      <c r="AQ13" s="940"/>
      <c r="AR13" s="940"/>
      <c r="AS13" s="940"/>
      <c r="AT13" s="940"/>
      <c r="AU13" s="940"/>
      <c r="AV13" s="940"/>
      <c r="AW13" s="940"/>
      <c r="AX13" s="940"/>
      <c r="AY13" s="940"/>
      <c r="AZ13" s="940"/>
      <c r="BA13" s="940"/>
      <c r="BB13" s="940"/>
      <c r="BC13" s="940"/>
      <c r="BD13" s="940"/>
      <c r="BE13" s="940"/>
      <c r="BF13" s="940"/>
      <c r="BG13" s="940"/>
      <c r="BH13" s="940"/>
      <c r="BI13" s="940"/>
      <c r="BJ13" s="940"/>
      <c r="BK13" s="940"/>
      <c r="BL13" s="940"/>
      <c r="BM13" s="940"/>
      <c r="BN13" s="940"/>
      <c r="BO13" s="940"/>
    </row>
    <row r="14" spans="1:67" s="934" customFormat="1" ht="12.75" customHeight="1" x14ac:dyDescent="0.3">
      <c r="A14" s="997"/>
      <c r="C14" s="1455" t="s">
        <v>959</v>
      </c>
      <c r="D14" s="940"/>
      <c r="E14" s="940"/>
      <c r="F14" s="941" t="str">
        <f>"(com "&amp;$AC$72&amp;" sprinklers em simultâneo)"</f>
        <v>(com 18 sprinklers em simultâneo)</v>
      </c>
      <c r="G14" s="925"/>
      <c r="H14" s="925"/>
      <c r="I14" s="925"/>
      <c r="J14" s="925"/>
      <c r="K14" s="925"/>
      <c r="L14" s="925"/>
      <c r="M14" s="925"/>
      <c r="N14" s="925"/>
      <c r="O14" s="925"/>
      <c r="P14" s="925"/>
      <c r="Q14" s="925"/>
      <c r="R14" s="925"/>
      <c r="S14" s="925"/>
      <c r="T14" s="925"/>
      <c r="U14" s="929"/>
      <c r="V14" s="929"/>
      <c r="W14" s="925"/>
      <c r="X14" s="925"/>
      <c r="Y14" s="925"/>
      <c r="Z14" s="925"/>
      <c r="AA14" s="925"/>
      <c r="AB14" s="925"/>
      <c r="AC14" s="925"/>
      <c r="AD14" s="925"/>
      <c r="AE14" s="925"/>
      <c r="AF14" s="925"/>
      <c r="AG14" s="925"/>
      <c r="AH14" s="925"/>
      <c r="AI14" s="925"/>
      <c r="AJ14" s="925"/>
      <c r="AK14" s="925"/>
      <c r="AL14" s="925"/>
      <c r="AM14" s="925"/>
      <c r="AN14" s="925"/>
      <c r="AO14" s="940"/>
      <c r="AP14" s="940"/>
      <c r="AQ14" s="940"/>
      <c r="AR14" s="940"/>
      <c r="AS14" s="940"/>
      <c r="AT14" s="940"/>
      <c r="AU14" s="940"/>
      <c r="AV14" s="940"/>
      <c r="AW14" s="940"/>
      <c r="AX14" s="940"/>
      <c r="AY14" s="940"/>
      <c r="AZ14" s="940"/>
      <c r="BA14" s="940"/>
      <c r="BB14" s="940"/>
      <c r="BC14" s="940"/>
      <c r="BD14" s="940"/>
      <c r="BE14" s="940"/>
      <c r="BF14" s="940"/>
      <c r="BG14" s="940"/>
      <c r="BH14" s="940"/>
      <c r="BI14" s="940"/>
      <c r="BJ14" s="940"/>
      <c r="BK14" s="940"/>
      <c r="BL14" s="940"/>
      <c r="BM14" s="940"/>
      <c r="BN14" s="940"/>
      <c r="BO14" s="940"/>
    </row>
    <row r="15" spans="1:67" s="934" customFormat="1" ht="17.25" customHeight="1" x14ac:dyDescent="0.3">
      <c r="A15" s="997"/>
      <c r="C15" s="942" t="s">
        <v>701</v>
      </c>
      <c r="D15" s="942" t="s">
        <v>702</v>
      </c>
      <c r="E15" s="942" t="s">
        <v>703</v>
      </c>
      <c r="F15" s="942" t="s">
        <v>704</v>
      </c>
      <c r="G15" s="925"/>
      <c r="H15" s="925"/>
      <c r="I15" s="925"/>
      <c r="J15" s="925"/>
      <c r="K15" s="925"/>
      <c r="L15" s="925"/>
      <c r="M15" s="925"/>
      <c r="N15" s="925"/>
      <c r="O15" s="925"/>
      <c r="P15" s="925"/>
      <c r="Q15" s="925"/>
      <c r="R15" s="925"/>
      <c r="S15" s="925"/>
      <c r="T15" s="925"/>
      <c r="U15" s="929"/>
      <c r="V15" s="929"/>
      <c r="W15" s="925"/>
      <c r="X15" s="925"/>
      <c r="Y15" s="925"/>
      <c r="Z15" s="925"/>
      <c r="AA15" s="925"/>
      <c r="AB15" s="925"/>
      <c r="AC15" s="925"/>
      <c r="AD15" s="925"/>
      <c r="AE15" s="925"/>
      <c r="AF15" s="925"/>
      <c r="AG15" s="925"/>
      <c r="AH15" s="925"/>
      <c r="AI15" s="925"/>
      <c r="AJ15" s="925"/>
      <c r="AK15" s="925"/>
      <c r="AL15" s="925"/>
      <c r="AM15" s="925"/>
      <c r="AN15" s="925"/>
      <c r="AO15" s="940"/>
      <c r="AP15" s="940"/>
      <c r="AQ15" s="940"/>
      <c r="AR15" s="940"/>
      <c r="AS15" s="940"/>
      <c r="AT15" s="940"/>
      <c r="AU15" s="940"/>
      <c r="AV15" s="940"/>
      <c r="AW15" s="940"/>
      <c r="AX15" s="940"/>
      <c r="AY15" s="940"/>
      <c r="AZ15" s="940"/>
      <c r="BA15" s="940"/>
      <c r="BB15" s="940"/>
      <c r="BC15" s="940"/>
      <c r="BD15" s="940"/>
      <c r="BE15" s="940"/>
      <c r="BF15" s="940"/>
      <c r="BG15" s="940"/>
      <c r="BH15" s="940"/>
      <c r="BI15" s="940"/>
      <c r="BJ15" s="940"/>
      <c r="BK15" s="940"/>
      <c r="BL15" s="940"/>
      <c r="BM15" s="940"/>
      <c r="BN15" s="940"/>
      <c r="BO15" s="940"/>
    </row>
    <row r="16" spans="1:67" s="934" customFormat="1" ht="15.75" customHeight="1" thickBot="1" x14ac:dyDescent="0.35">
      <c r="A16" s="997"/>
      <c r="C16" s="943" t="str">
        <f>'Cálc. Sist. Extinção Automática'!BL4</f>
        <v>kPa</v>
      </c>
      <c r="D16" s="943" t="str">
        <f>'Cálc. Sist. Extinção Automática'!BG4</f>
        <v>l/min</v>
      </c>
      <c r="E16" s="943" t="str">
        <f>C16</f>
        <v>kPa</v>
      </c>
      <c r="F16" s="944" t="str">
        <f>IF(AND(D104=1,E104=1),"KPa/(l/min)¹·⁸⁵",IF(AND(D104=1,E104=2),"KPa/(l/s)¹·⁸⁵",IF(AND(D104=1,E104=3),"KPa/(l/h)¹·⁸⁵",IF(AND(D104=1,E104=4),"KPa/(m³/h)¹·⁸⁵",IF(AND(D104=2,E104=1),"bar/(l/min)¹·⁸⁵",IF(AND(D104=2,E104=2),"bar/(l/s)¹·⁸⁵",IF(AND(D104=2,E104=3),"bar/(l/h)¹·⁸⁵",IF(AND(D104=2,E104=4),"bar/(m³/h)¹·⁸⁵",IF(AND(D104=3,E104=1),"mca/(l/min)¹·⁸⁵",IF(AND(D104=3,E104=2),"mca/(l/s)¹·⁸⁵",IF(AND(D104=3,E104=3),"mca/(l/h)¹·⁸⁵",IF(AND(D104=3,E104=4),"mca/(m³/h)¹·⁸⁵",IF(AND(D104=4,E104=1),"Kgf/cm²/(l/min)¹·⁸⁵",IF(AND(D104=4,E104=2),"Kgf/cm²/(l/s)¹·⁸⁵",IF(AND(D104=4,E104=3),"Kgf/cm²/(l/h)¹·⁸⁵",IF(AND(D104=4,E104=4),"Kgf/cm²/(m³/h)¹·⁸⁵",""))))))))))))))))</f>
        <v>KPa/(l/min)¹·⁸⁵</v>
      </c>
      <c r="G16" s="925"/>
      <c r="H16" s="925"/>
      <c r="I16" s="925"/>
      <c r="J16" s="925"/>
      <c r="K16" s="925"/>
      <c r="L16" s="925"/>
      <c r="M16" s="925"/>
      <c r="N16" s="925"/>
      <c r="O16" s="925"/>
      <c r="P16" s="925"/>
      <c r="Q16" s="925"/>
      <c r="R16" s="925"/>
      <c r="S16" s="925"/>
      <c r="T16" s="925"/>
      <c r="U16" s="929"/>
      <c r="V16" s="929"/>
      <c r="W16" s="925"/>
      <c r="X16" s="925"/>
      <c r="Y16" s="925"/>
      <c r="Z16" s="925"/>
      <c r="AA16" s="925"/>
      <c r="AB16" s="925"/>
      <c r="AC16" s="925"/>
      <c r="AD16" s="925"/>
      <c r="AE16" s="925"/>
      <c r="AF16" s="925"/>
      <c r="AG16" s="925"/>
      <c r="AH16" s="925"/>
      <c r="AI16" s="925"/>
      <c r="AJ16" s="925"/>
      <c r="AK16" s="925"/>
      <c r="AL16" s="925"/>
      <c r="AM16" s="925"/>
      <c r="AN16" s="925"/>
      <c r="AO16" s="940"/>
      <c r="AP16" s="940"/>
      <c r="AQ16" s="940"/>
      <c r="AR16" s="940"/>
      <c r="AS16" s="940"/>
      <c r="AT16" s="940"/>
      <c r="AU16" s="940"/>
      <c r="AV16" s="940"/>
      <c r="AW16" s="940"/>
      <c r="AX16" s="940"/>
      <c r="AY16" s="940"/>
      <c r="AZ16" s="940"/>
      <c r="BA16" s="940"/>
      <c r="BB16" s="940"/>
      <c r="BC16" s="940"/>
      <c r="BD16" s="940"/>
      <c r="BE16" s="940"/>
      <c r="BF16" s="940"/>
      <c r="BG16" s="940"/>
      <c r="BH16" s="940"/>
      <c r="BI16" s="940"/>
      <c r="BJ16" s="940"/>
      <c r="BK16" s="940"/>
      <c r="BL16" s="940"/>
      <c r="BM16" s="940"/>
      <c r="BN16" s="940"/>
      <c r="BO16" s="940"/>
    </row>
    <row r="17" spans="1:67" s="934" customFormat="1" ht="12.9" thickTop="1" x14ac:dyDescent="0.3">
      <c r="A17" s="997"/>
      <c r="C17" s="945" t="str">
        <f>IF('Cálc. Sist. Extinção Automática'!AU14="","",'Cálc. Sist. Extinção Automática'!AU14)</f>
        <v/>
      </c>
      <c r="D17" s="946" t="str">
        <f>IF('Cálc. Sist. Extinção Automática'!AU14="","",'Cálc. Sist. Extinção Automática'!AU15)</f>
        <v/>
      </c>
      <c r="E17" s="945" t="str">
        <f>IF('Cálc. Sist. Extinção Automática'!AU14="","",'Cálc. Sist. Extinção Automática'!DX169+'Cálc. Sist. Extinção Automática'!AX7*'Cálc. Sist. Extinção Automática'!AU19/'Cálc. Sist. Extinção Automática'!BK11)</f>
        <v/>
      </c>
      <c r="F17" s="947" t="str">
        <f>IF(C17="","",IF('Cálc. Sist. Extinção Automática'!AU14=0,"",(C17-E17)/(D17^1.85)))</f>
        <v/>
      </c>
      <c r="G17" s="925"/>
      <c r="H17" s="925"/>
      <c r="I17" s="925"/>
      <c r="J17" s="925"/>
      <c r="K17" s="925"/>
      <c r="L17" s="925"/>
      <c r="M17" s="925"/>
      <c r="N17" s="925"/>
      <c r="O17" s="925"/>
      <c r="P17" s="925"/>
      <c r="Q17" s="925"/>
      <c r="R17" s="925"/>
      <c r="S17" s="925"/>
      <c r="T17" s="925"/>
      <c r="U17" s="929"/>
      <c r="V17" s="929"/>
      <c r="W17" s="925"/>
      <c r="X17" s="925"/>
      <c r="Y17" s="925"/>
      <c r="Z17" s="925"/>
      <c r="AA17" s="925"/>
      <c r="AB17" s="925"/>
      <c r="AC17" s="925"/>
      <c r="AD17" s="925"/>
      <c r="AE17" s="925"/>
      <c r="AF17" s="925"/>
      <c r="AG17" s="925"/>
      <c r="AH17" s="925"/>
      <c r="AI17" s="925"/>
      <c r="AJ17" s="925"/>
      <c r="AK17" s="925"/>
      <c r="AL17" s="925"/>
      <c r="AM17" s="925"/>
      <c r="AN17" s="925"/>
      <c r="AO17" s="940"/>
      <c r="AP17" s="940"/>
      <c r="AQ17" s="940"/>
      <c r="AR17" s="940"/>
      <c r="AS17" s="940"/>
      <c r="AT17" s="940"/>
      <c r="AU17" s="940"/>
      <c r="AV17" s="940"/>
      <c r="AW17" s="940"/>
      <c r="AX17" s="940"/>
      <c r="AY17" s="940"/>
      <c r="AZ17" s="940"/>
      <c r="BA17" s="940"/>
      <c r="BB17" s="940"/>
      <c r="BC17" s="940"/>
      <c r="BD17" s="940"/>
      <c r="BE17" s="940"/>
      <c r="BF17" s="940"/>
      <c r="BG17" s="940"/>
      <c r="BH17" s="940"/>
      <c r="BI17" s="940"/>
      <c r="BJ17" s="940"/>
      <c r="BK17" s="940"/>
      <c r="BL17" s="940"/>
      <c r="BM17" s="940"/>
      <c r="BN17" s="940"/>
      <c r="BO17" s="940"/>
    </row>
    <row r="18" spans="1:67" s="934" customFormat="1" ht="5.25" customHeight="1" x14ac:dyDescent="0.3">
      <c r="A18" s="997"/>
      <c r="C18" s="940"/>
      <c r="D18" s="940"/>
      <c r="E18" s="940"/>
      <c r="F18" s="940"/>
      <c r="G18" s="940"/>
      <c r="H18" s="925"/>
      <c r="I18" s="925"/>
      <c r="J18" s="925"/>
      <c r="K18" s="925"/>
      <c r="L18" s="925"/>
      <c r="M18" s="925"/>
      <c r="N18" s="925"/>
      <c r="O18" s="925"/>
      <c r="P18" s="925"/>
      <c r="Q18" s="925"/>
      <c r="R18" s="925"/>
      <c r="S18" s="925"/>
      <c r="T18" s="925"/>
      <c r="U18" s="929"/>
      <c r="V18" s="929"/>
      <c r="W18" s="925"/>
      <c r="X18" s="925"/>
      <c r="Y18" s="925"/>
      <c r="Z18" s="925"/>
      <c r="AA18" s="925"/>
      <c r="AB18" s="925"/>
      <c r="AC18" s="925"/>
      <c r="AD18" s="925"/>
      <c r="AE18" s="925"/>
      <c r="AF18" s="925"/>
      <c r="AG18" s="925"/>
      <c r="AH18" s="925"/>
      <c r="AI18" s="925"/>
      <c r="AJ18" s="925"/>
      <c r="AK18" s="925"/>
      <c r="AL18" s="925"/>
      <c r="AM18" s="925"/>
      <c r="AN18" s="925"/>
      <c r="AO18" s="940"/>
      <c r="AP18" s="940"/>
      <c r="AQ18" s="940"/>
      <c r="AR18" s="940"/>
      <c r="AS18" s="940"/>
      <c r="AT18" s="940"/>
      <c r="AU18" s="940"/>
      <c r="AV18" s="940"/>
      <c r="AW18" s="940"/>
      <c r="AX18" s="940"/>
      <c r="AY18" s="940"/>
      <c r="AZ18" s="940"/>
      <c r="BA18" s="940"/>
      <c r="BB18" s="940"/>
      <c r="BC18" s="940"/>
      <c r="BD18" s="940"/>
      <c r="BE18" s="940"/>
      <c r="BF18" s="940"/>
      <c r="BG18" s="940"/>
      <c r="BH18" s="940"/>
      <c r="BI18" s="940"/>
      <c r="BJ18" s="940"/>
      <c r="BK18" s="940"/>
      <c r="BL18" s="940"/>
      <c r="BM18" s="940"/>
      <c r="BN18" s="940"/>
      <c r="BO18" s="940"/>
    </row>
    <row r="19" spans="1:67" s="934" customFormat="1" ht="13.5" customHeight="1" x14ac:dyDescent="0.3">
      <c r="A19" s="997"/>
      <c r="C19" s="1455" t="s">
        <v>960</v>
      </c>
      <c r="D19" s="940"/>
      <c r="E19" s="925"/>
      <c r="F19" s="925"/>
      <c r="G19" s="940"/>
      <c r="H19" s="925"/>
      <c r="I19" s="925"/>
      <c r="J19" s="925"/>
      <c r="K19" s="925"/>
      <c r="L19" s="925"/>
      <c r="M19" s="925"/>
      <c r="N19" s="925"/>
      <c r="O19" s="925"/>
      <c r="P19" s="925"/>
      <c r="Q19" s="925"/>
      <c r="R19" s="925"/>
      <c r="S19" s="925"/>
      <c r="T19" s="925"/>
      <c r="U19" s="929"/>
      <c r="V19" s="929"/>
      <c r="W19" s="940"/>
      <c r="X19" s="940"/>
      <c r="Y19" s="940"/>
      <c r="Z19" s="940"/>
      <c r="AA19" s="940"/>
      <c r="AB19" s="940"/>
      <c r="AC19" s="940"/>
      <c r="AD19" s="940"/>
      <c r="AE19" s="940"/>
      <c r="AF19" s="940"/>
      <c r="AG19" s="925"/>
      <c r="AH19" s="925"/>
      <c r="AI19" s="925"/>
      <c r="AJ19" s="925"/>
      <c r="AK19" s="925"/>
      <c r="AL19" s="925"/>
      <c r="AM19" s="925"/>
      <c r="AN19" s="925"/>
      <c r="AO19" s="940"/>
      <c r="AP19" s="940"/>
      <c r="AQ19" s="940"/>
      <c r="AR19" s="940"/>
      <c r="AS19" s="940"/>
      <c r="AT19" s="940"/>
      <c r="AU19" s="940"/>
      <c r="AV19" s="940"/>
      <c r="AW19" s="940"/>
      <c r="AX19" s="940"/>
      <c r="AY19" s="940"/>
      <c r="AZ19" s="940"/>
      <c r="BA19" s="940"/>
      <c r="BB19" s="940"/>
      <c r="BC19" s="940"/>
      <c r="BD19" s="940"/>
      <c r="BE19" s="940"/>
      <c r="BF19" s="940"/>
      <c r="BG19" s="940"/>
      <c r="BH19" s="940"/>
      <c r="BI19" s="940"/>
      <c r="BJ19" s="940"/>
      <c r="BK19" s="940"/>
      <c r="BL19" s="940"/>
      <c r="BM19" s="940"/>
      <c r="BN19" s="940"/>
      <c r="BO19" s="940"/>
    </row>
    <row r="20" spans="1:67" ht="18" customHeight="1" x14ac:dyDescent="0.3">
      <c r="A20" s="996"/>
      <c r="C20" s="942" t="s">
        <v>701</v>
      </c>
      <c r="D20" s="942" t="s">
        <v>702</v>
      </c>
      <c r="E20" s="942" t="s">
        <v>703</v>
      </c>
      <c r="F20" s="942" t="s">
        <v>704</v>
      </c>
      <c r="G20" s="925"/>
      <c r="H20" s="925"/>
      <c r="I20" s="925"/>
      <c r="J20" s="925"/>
      <c r="K20" s="925"/>
      <c r="L20" s="925"/>
      <c r="M20" s="925"/>
      <c r="N20" s="925"/>
      <c r="O20" s="925"/>
      <c r="P20" s="925"/>
      <c r="Q20" s="925"/>
      <c r="R20" s="925"/>
      <c r="S20" s="925"/>
      <c r="T20" s="925"/>
    </row>
    <row r="21" spans="1:67" ht="16.5" customHeight="1" thickBot="1" x14ac:dyDescent="0.35">
      <c r="A21" s="996"/>
      <c r="C21" s="943" t="str">
        <f>C16</f>
        <v>kPa</v>
      </c>
      <c r="D21" s="943" t="str">
        <f>D16</f>
        <v>l/min</v>
      </c>
      <c r="E21" s="943" t="str">
        <f>E16</f>
        <v>kPa</v>
      </c>
      <c r="F21" s="944" t="str">
        <f>F16</f>
        <v>KPa/(l/min)¹·⁸⁵</v>
      </c>
      <c r="G21" s="925"/>
      <c r="H21" s="925"/>
      <c r="I21" s="925"/>
      <c r="J21" s="925"/>
      <c r="K21" s="925"/>
      <c r="L21" s="925"/>
      <c r="M21" s="925"/>
      <c r="N21" s="925"/>
      <c r="O21" s="925"/>
      <c r="P21" s="925"/>
      <c r="Q21" s="925"/>
      <c r="R21" s="925"/>
      <c r="S21" s="925"/>
      <c r="T21" s="925"/>
    </row>
    <row r="22" spans="1:67" ht="12.9" thickTop="1" x14ac:dyDescent="0.3">
      <c r="A22" s="996"/>
      <c r="C22" s="945" t="str">
        <f>IF(C17="","",IF('Cálc. Sist. Extinção Automática'!AU14=0,"",IF('Cálc. Sist. Extinção Automática'!AU14=0,"",'Cálc. Sist. Extinção Automática'!DV169+'Cálc. Sist. Extinção Automática'!AY10)))</f>
        <v/>
      </c>
      <c r="D22" s="946" t="str">
        <f>IF(C22="","",IF('Cálc. Sist. Extinção Automática'!AU14=0,"",MIN('Cálc. Sist. Extinção Automática'!R25:R49)))</f>
        <v/>
      </c>
      <c r="E22" s="945" t="str">
        <f>IF('Cálc. Sist. Extinção Automática'!AU14=0,"",IF(E17=0,0,E17))</f>
        <v/>
      </c>
      <c r="F22" s="947" t="str">
        <f>IF(C22="","",IF('Cálc. Sist. Extinção Automática'!AU14=0,"",(C22-E22)/(D22^1.85)))</f>
        <v/>
      </c>
      <c r="G22" s="925"/>
      <c r="H22" s="925"/>
      <c r="I22" s="925"/>
      <c r="J22" s="925"/>
      <c r="K22" s="925"/>
      <c r="L22" s="925"/>
      <c r="M22" s="925"/>
      <c r="N22" s="925"/>
      <c r="O22" s="925"/>
      <c r="P22" s="925"/>
      <c r="Q22" s="925"/>
      <c r="R22" s="925"/>
      <c r="S22" s="925"/>
      <c r="T22" s="925"/>
    </row>
    <row r="23" spans="1:67" ht="9" customHeight="1" x14ac:dyDescent="0.3">
      <c r="A23" s="996"/>
      <c r="C23" s="925"/>
      <c r="D23" s="940"/>
      <c r="E23" s="925"/>
      <c r="F23" s="925"/>
      <c r="G23" s="925"/>
      <c r="H23" s="925"/>
      <c r="I23" s="925"/>
      <c r="J23" s="925"/>
      <c r="K23" s="925"/>
      <c r="L23" s="925"/>
      <c r="M23" s="925"/>
      <c r="N23" s="925"/>
      <c r="O23" s="925"/>
      <c r="P23" s="925"/>
      <c r="Q23" s="925"/>
      <c r="R23" s="925"/>
      <c r="S23" s="925"/>
      <c r="T23" s="925"/>
    </row>
    <row r="24" spans="1:67" ht="14.6" thickBot="1" x14ac:dyDescent="0.35">
      <c r="A24" s="996"/>
      <c r="B24" s="1"/>
      <c r="C24" s="1090"/>
      <c r="D24" s="1103" t="s">
        <v>773</v>
      </c>
      <c r="E24" s="925"/>
      <c r="F24" s="925"/>
      <c r="G24" s="925"/>
      <c r="H24" s="925"/>
      <c r="I24" s="925"/>
      <c r="J24" s="925"/>
      <c r="K24" s="925"/>
      <c r="L24" s="925"/>
      <c r="M24" s="925"/>
      <c r="N24" s="925"/>
      <c r="O24" s="925"/>
      <c r="P24" s="925"/>
      <c r="Q24" s="925"/>
      <c r="R24" s="925"/>
      <c r="S24" s="925"/>
      <c r="T24" s="925"/>
    </row>
    <row r="25" spans="1:67" ht="12.9" thickTop="1" x14ac:dyDescent="0.3">
      <c r="A25" s="996"/>
      <c r="C25" s="1027" t="s">
        <v>961</v>
      </c>
      <c r="D25" s="940"/>
      <c r="E25" s="925"/>
      <c r="F25" s="941" t="str">
        <f>"(com "&amp;$AC$72&amp;" sprinklers em simultâneo)"</f>
        <v>(com 18 sprinklers em simultâneo)</v>
      </c>
      <c r="G25" s="925"/>
      <c r="H25" s="925"/>
      <c r="I25" s="925"/>
      <c r="J25" s="925"/>
      <c r="K25" s="925"/>
      <c r="L25" s="925"/>
      <c r="M25" s="925"/>
      <c r="N25" s="925"/>
      <c r="O25" s="925"/>
      <c r="P25" s="925"/>
      <c r="Q25" s="925"/>
      <c r="R25" s="925"/>
      <c r="S25" s="925"/>
      <c r="T25" s="925"/>
    </row>
    <row r="26" spans="1:67" s="934" customFormat="1" ht="15.75" customHeight="1" x14ac:dyDescent="0.3">
      <c r="A26" s="997"/>
      <c r="C26" s="942" t="s">
        <v>701</v>
      </c>
      <c r="D26" s="942" t="s">
        <v>702</v>
      </c>
      <c r="E26" s="942" t="s">
        <v>703</v>
      </c>
      <c r="F26" s="942" t="s">
        <v>704</v>
      </c>
      <c r="G26" s="925"/>
      <c r="H26" s="925"/>
      <c r="I26" s="925"/>
      <c r="J26" s="925"/>
      <c r="K26" s="925"/>
      <c r="L26" s="925"/>
      <c r="M26" s="925"/>
      <c r="N26" s="925"/>
      <c r="O26" s="925"/>
      <c r="P26" s="925"/>
      <c r="Q26" s="925"/>
      <c r="R26" s="925"/>
      <c r="S26" s="925"/>
      <c r="T26" s="925"/>
      <c r="U26" s="929"/>
      <c r="V26" s="929"/>
      <c r="W26" s="940"/>
      <c r="X26" s="940"/>
      <c r="Y26" s="940"/>
      <c r="Z26" s="940"/>
      <c r="AA26" s="940"/>
      <c r="AB26" s="940"/>
      <c r="AC26" s="940"/>
      <c r="AD26" s="940"/>
      <c r="AE26" s="940"/>
      <c r="AF26" s="940"/>
      <c r="AG26" s="925"/>
      <c r="AH26" s="925"/>
      <c r="AI26" s="925"/>
      <c r="AJ26" s="925"/>
      <c r="AK26" s="925"/>
      <c r="AL26" s="925"/>
      <c r="AM26" s="925"/>
      <c r="AN26" s="925"/>
      <c r="AO26" s="940"/>
      <c r="AP26" s="940"/>
      <c r="AQ26" s="940"/>
      <c r="AR26" s="940"/>
      <c r="AS26" s="940"/>
      <c r="AT26" s="940"/>
      <c r="AU26" s="940"/>
      <c r="AV26" s="940"/>
      <c r="AW26" s="940"/>
      <c r="AX26" s="940"/>
      <c r="AY26" s="940"/>
      <c r="AZ26" s="940"/>
      <c r="BA26" s="940"/>
      <c r="BB26" s="940"/>
      <c r="BC26" s="940"/>
      <c r="BD26" s="940"/>
      <c r="BE26" s="940"/>
      <c r="BF26" s="940"/>
      <c r="BG26" s="940"/>
      <c r="BH26" s="940"/>
      <c r="BI26" s="940"/>
      <c r="BJ26" s="940"/>
      <c r="BK26" s="940"/>
      <c r="BL26" s="940"/>
      <c r="BM26" s="940"/>
      <c r="BN26" s="940"/>
      <c r="BO26" s="940"/>
    </row>
    <row r="27" spans="1:67" s="934" customFormat="1" ht="12.9" thickBot="1" x14ac:dyDescent="0.35">
      <c r="A27" s="997"/>
      <c r="C27" s="943" t="str">
        <f>C21</f>
        <v>kPa</v>
      </c>
      <c r="D27" s="943" t="str">
        <f>D21</f>
        <v>l/min</v>
      </c>
      <c r="E27" s="943" t="str">
        <f>E21</f>
        <v>kPa</v>
      </c>
      <c r="F27" s="944" t="str">
        <f>F21</f>
        <v>KPa/(l/min)¹·⁸⁵</v>
      </c>
      <c r="G27" s="925"/>
      <c r="H27" s="925"/>
      <c r="I27" s="925"/>
      <c r="J27" s="925"/>
      <c r="K27" s="925"/>
      <c r="L27" s="925"/>
      <c r="M27" s="925"/>
      <c r="N27" s="925"/>
      <c r="O27" s="925"/>
      <c r="P27" s="925"/>
      <c r="Q27" s="925"/>
      <c r="R27" s="925"/>
      <c r="S27" s="925"/>
      <c r="T27" s="925"/>
      <c r="U27" s="929"/>
      <c r="V27" s="929"/>
      <c r="W27" s="940"/>
      <c r="X27" s="940"/>
      <c r="Y27" s="940"/>
      <c r="Z27" s="940"/>
      <c r="AA27" s="940"/>
      <c r="AB27" s="940"/>
      <c r="AC27" s="940"/>
      <c r="AD27" s="940"/>
      <c r="AE27" s="940"/>
      <c r="AF27" s="940"/>
      <c r="AG27" s="925"/>
      <c r="AH27" s="925"/>
      <c r="AI27" s="925"/>
      <c r="AJ27" s="925"/>
      <c r="AK27" s="925"/>
      <c r="AL27" s="925"/>
      <c r="AM27" s="925"/>
      <c r="AN27" s="925"/>
      <c r="AO27" s="940"/>
      <c r="AP27" s="940"/>
      <c r="AQ27" s="940"/>
      <c r="AR27" s="940"/>
      <c r="AS27" s="940"/>
      <c r="AT27" s="940"/>
      <c r="AU27" s="940"/>
      <c r="AV27" s="940"/>
      <c r="AW27" s="940"/>
      <c r="AX27" s="940"/>
      <c r="AY27" s="940"/>
      <c r="AZ27" s="940"/>
      <c r="BA27" s="940"/>
      <c r="BB27" s="940"/>
      <c r="BC27" s="940"/>
      <c r="BD27" s="940"/>
      <c r="BE27" s="940"/>
      <c r="BF27" s="940"/>
      <c r="BG27" s="940"/>
      <c r="BH27" s="940"/>
      <c r="BI27" s="940"/>
      <c r="BJ27" s="940"/>
      <c r="BK27" s="940"/>
      <c r="BL27" s="940"/>
      <c r="BM27" s="940"/>
      <c r="BN27" s="940"/>
      <c r="BO27" s="940"/>
    </row>
    <row r="28" spans="1:67" s="934" customFormat="1" ht="12.9" thickTop="1" x14ac:dyDescent="0.3">
      <c r="A28" s="997"/>
      <c r="C28" s="945" t="str">
        <f>IFERROR(IF(AND(Y53="",AH48=""),"",IF(Y54="ok",C17-Y53,AH48+'Cálc. Sist. Extinção Automática'!AX10)),"")</f>
        <v/>
      </c>
      <c r="D28" s="946" t="str">
        <f>IF(C28="","",IF('Cálc. Sist. Extinção Automática'!AU14=0,"",IF(D17=0,0,D17)))</f>
        <v/>
      </c>
      <c r="E28" s="945" t="str">
        <f>IFERROR(IF('Cálc. Sist. Extinção Automática'!AU14="","",IF(Y54="ok",E17-Y53,AG50+AG51+'Cálc. Sist. Extinção Automática'!AX7*'Cálc. Sist. Extinção Automática'!AU19/'Cálc. Sist. Extinção Automática'!BK11)),"")</f>
        <v/>
      </c>
      <c r="F28" s="947" t="str">
        <f>IFERROR(IF('Cálc. Sist. Extinção Automática'!AU14=0,"",(C28-E28)/(D28^1.85)),"")</f>
        <v/>
      </c>
      <c r="G28" s="925"/>
      <c r="H28" s="925"/>
      <c r="I28" s="925"/>
      <c r="J28" s="925"/>
      <c r="K28" s="925"/>
      <c r="L28" s="925"/>
      <c r="M28" s="925"/>
      <c r="N28" s="925"/>
      <c r="O28" s="925"/>
      <c r="P28" s="925"/>
      <c r="Q28" s="925"/>
      <c r="R28" s="925"/>
      <c r="S28" s="925"/>
      <c r="T28" s="925"/>
      <c r="U28" s="929"/>
      <c r="V28" s="929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25"/>
      <c r="AH28" s="925"/>
      <c r="AI28" s="925"/>
      <c r="AJ28" s="925"/>
      <c r="AK28" s="925"/>
      <c r="AL28" s="925"/>
      <c r="AM28" s="925"/>
      <c r="AN28" s="925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40"/>
      <c r="BI28" s="940"/>
      <c r="BJ28" s="940"/>
      <c r="BK28" s="940"/>
      <c r="BL28" s="940"/>
      <c r="BM28" s="940"/>
      <c r="BN28" s="940"/>
      <c r="BO28" s="940"/>
    </row>
    <row r="29" spans="1:67" s="934" customFormat="1" ht="4.5" customHeight="1" x14ac:dyDescent="0.3">
      <c r="A29" s="997"/>
      <c r="C29" s="940"/>
      <c r="D29" s="940"/>
      <c r="E29" s="940"/>
      <c r="F29" s="940"/>
      <c r="G29" s="925"/>
      <c r="H29" s="925"/>
      <c r="I29" s="925"/>
      <c r="J29" s="925"/>
      <c r="K29" s="925"/>
      <c r="L29" s="925"/>
      <c r="M29" s="925"/>
      <c r="N29" s="925"/>
      <c r="O29" s="925"/>
      <c r="P29" s="925"/>
      <c r="Q29" s="925"/>
      <c r="R29" s="925"/>
      <c r="S29" s="925"/>
      <c r="T29" s="925"/>
      <c r="U29" s="929"/>
      <c r="V29" s="929"/>
      <c r="W29" s="940"/>
      <c r="X29" s="940"/>
      <c r="Y29" s="940"/>
      <c r="Z29" s="940"/>
      <c r="AA29" s="940"/>
      <c r="AB29" s="940"/>
      <c r="AC29" s="940"/>
      <c r="AD29" s="940"/>
      <c r="AE29" s="940"/>
      <c r="AF29" s="940"/>
      <c r="AG29" s="925"/>
      <c r="AH29" s="925"/>
      <c r="AI29" s="925"/>
      <c r="AJ29" s="925"/>
      <c r="AK29" s="925"/>
      <c r="AL29" s="925"/>
      <c r="AM29" s="925"/>
      <c r="AN29" s="925"/>
      <c r="AO29" s="940"/>
      <c r="AP29" s="940"/>
      <c r="AQ29" s="940"/>
      <c r="AR29" s="940"/>
      <c r="AS29" s="940"/>
      <c r="AT29" s="940"/>
      <c r="AU29" s="940"/>
      <c r="AV29" s="940"/>
      <c r="AW29" s="940"/>
      <c r="AX29" s="940"/>
      <c r="AY29" s="940"/>
      <c r="AZ29" s="940"/>
      <c r="BA29" s="940"/>
      <c r="BB29" s="940"/>
      <c r="BC29" s="940"/>
      <c r="BD29" s="940"/>
      <c r="BE29" s="940"/>
      <c r="BF29" s="940"/>
      <c r="BG29" s="940"/>
      <c r="BH29" s="940"/>
      <c r="BI29" s="940"/>
      <c r="BJ29" s="940"/>
      <c r="BK29" s="940"/>
      <c r="BL29" s="940"/>
      <c r="BM29" s="940"/>
      <c r="BN29" s="940"/>
      <c r="BO29" s="940"/>
    </row>
    <row r="30" spans="1:67" s="934" customFormat="1" x14ac:dyDescent="0.3">
      <c r="A30" s="997"/>
      <c r="C30" s="1027" t="s">
        <v>962</v>
      </c>
      <c r="D30" s="940"/>
      <c r="E30" s="925"/>
      <c r="F30" s="925"/>
      <c r="G30" s="925"/>
      <c r="H30" s="925"/>
      <c r="I30" s="925"/>
      <c r="J30" s="925"/>
      <c r="K30" s="925"/>
      <c r="L30" s="925"/>
      <c r="M30" s="925"/>
      <c r="N30" s="925"/>
      <c r="O30" s="925"/>
      <c r="P30" s="925"/>
      <c r="Q30" s="925"/>
      <c r="R30" s="925"/>
      <c r="S30" s="925"/>
      <c r="T30" s="925"/>
      <c r="U30" s="929"/>
      <c r="V30" s="929"/>
      <c r="W30" s="940"/>
      <c r="X30" s="940"/>
      <c r="Y30" s="940"/>
      <c r="Z30" s="940"/>
      <c r="AA30" s="940"/>
      <c r="AB30" s="940"/>
      <c r="AC30" s="940"/>
      <c r="AD30" s="940"/>
      <c r="AE30" s="940"/>
      <c r="AF30" s="940"/>
      <c r="AG30" s="925"/>
      <c r="AH30" s="925"/>
      <c r="AI30" s="925"/>
      <c r="AJ30" s="925"/>
      <c r="AK30" s="925"/>
      <c r="AL30" s="925"/>
      <c r="AM30" s="925"/>
      <c r="AN30" s="925"/>
      <c r="AO30" s="940"/>
      <c r="AP30" s="940"/>
      <c r="AQ30" s="940"/>
      <c r="AR30" s="940"/>
      <c r="AS30" s="940"/>
      <c r="AT30" s="940"/>
      <c r="AU30" s="940"/>
      <c r="AV30" s="940"/>
      <c r="AW30" s="940"/>
      <c r="AX30" s="940"/>
      <c r="AY30" s="940"/>
      <c r="AZ30" s="940"/>
      <c r="BA30" s="940"/>
      <c r="BB30" s="940"/>
      <c r="BC30" s="940"/>
      <c r="BD30" s="940"/>
      <c r="BE30" s="940"/>
      <c r="BF30" s="940"/>
      <c r="BG30" s="940"/>
      <c r="BH30" s="940"/>
      <c r="BI30" s="940"/>
      <c r="BJ30" s="940"/>
      <c r="BK30" s="940"/>
      <c r="BL30" s="940"/>
      <c r="BM30" s="940"/>
      <c r="BN30" s="940"/>
      <c r="BO30" s="940"/>
    </row>
    <row r="31" spans="1:67" s="934" customFormat="1" ht="16.75" x14ac:dyDescent="0.3">
      <c r="A31" s="997"/>
      <c r="C31" s="942" t="s">
        <v>701</v>
      </c>
      <c r="D31" s="942" t="s">
        <v>702</v>
      </c>
      <c r="E31" s="942" t="s">
        <v>703</v>
      </c>
      <c r="F31" s="942" t="s">
        <v>704</v>
      </c>
      <c r="G31" s="925"/>
      <c r="H31" s="925"/>
      <c r="I31" s="925"/>
      <c r="J31" s="925"/>
      <c r="K31" s="925"/>
      <c r="L31" s="925"/>
      <c r="M31" s="925"/>
      <c r="N31" s="925"/>
      <c r="O31" s="925"/>
      <c r="P31" s="925"/>
      <c r="Q31" s="925"/>
      <c r="R31" s="925"/>
      <c r="S31" s="925"/>
      <c r="T31" s="925"/>
      <c r="U31" s="929"/>
      <c r="V31" s="929"/>
      <c r="W31" s="940"/>
      <c r="X31" s="940"/>
      <c r="Y31" s="940"/>
      <c r="Z31" s="940"/>
      <c r="AA31" s="940"/>
      <c r="AB31" s="940"/>
      <c r="AC31" s="940"/>
      <c r="AD31" s="940"/>
      <c r="AE31" s="940"/>
      <c r="AF31" s="940"/>
      <c r="AG31" s="925"/>
      <c r="AH31" s="925"/>
      <c r="AI31" s="925"/>
      <c r="AJ31" s="925"/>
      <c r="AK31" s="925"/>
      <c r="AL31" s="925"/>
      <c r="AM31" s="925"/>
      <c r="AN31" s="925"/>
      <c r="AO31" s="940"/>
      <c r="AP31" s="940"/>
      <c r="AQ31" s="940"/>
      <c r="AR31" s="940"/>
      <c r="AS31" s="940"/>
      <c r="AT31" s="940"/>
      <c r="AU31" s="940"/>
      <c r="AV31" s="940"/>
      <c r="AW31" s="940"/>
      <c r="AX31" s="940"/>
      <c r="AY31" s="940"/>
      <c r="AZ31" s="940"/>
      <c r="BA31" s="940"/>
      <c r="BB31" s="940"/>
      <c r="BC31" s="940"/>
      <c r="BD31" s="940"/>
      <c r="BE31" s="940"/>
      <c r="BF31" s="940"/>
      <c r="BG31" s="940"/>
      <c r="BH31" s="940"/>
      <c r="BI31" s="940"/>
      <c r="BJ31" s="940"/>
      <c r="BK31" s="940"/>
      <c r="BL31" s="940"/>
      <c r="BM31" s="940"/>
      <c r="BN31" s="940"/>
      <c r="BO31" s="940"/>
    </row>
    <row r="32" spans="1:67" s="934" customFormat="1" ht="12.9" thickBot="1" x14ac:dyDescent="0.35">
      <c r="A32" s="997"/>
      <c r="C32" s="943" t="str">
        <f>C27</f>
        <v>kPa</v>
      </c>
      <c r="D32" s="943" t="str">
        <f>D27</f>
        <v>l/min</v>
      </c>
      <c r="E32" s="943" t="str">
        <f>E27</f>
        <v>kPa</v>
      </c>
      <c r="F32" s="944" t="str">
        <f>F27</f>
        <v>KPa/(l/min)¹·⁸⁵</v>
      </c>
      <c r="G32" s="925"/>
      <c r="H32" s="925"/>
      <c r="I32" s="925"/>
      <c r="J32" s="925"/>
      <c r="K32" s="925"/>
      <c r="L32" s="925"/>
      <c r="M32" s="925"/>
      <c r="N32" s="925"/>
      <c r="O32" s="925"/>
      <c r="P32" s="925"/>
      <c r="Q32" s="925"/>
      <c r="R32" s="925"/>
      <c r="S32" s="925"/>
      <c r="T32" s="925"/>
      <c r="U32" s="929"/>
      <c r="V32" s="929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25"/>
      <c r="AH32" s="925"/>
      <c r="AI32" s="925"/>
      <c r="AJ32" s="925"/>
      <c r="AK32" s="925"/>
      <c r="AL32" s="925"/>
      <c r="AM32" s="925"/>
      <c r="AN32" s="925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40"/>
      <c r="BI32" s="940"/>
      <c r="BJ32" s="940"/>
      <c r="BK32" s="940"/>
      <c r="BL32" s="940"/>
      <c r="BM32" s="940"/>
      <c r="BN32" s="940"/>
      <c r="BO32" s="940"/>
    </row>
    <row r="33" spans="1:67" s="934" customFormat="1" ht="15.75" customHeight="1" thickTop="1" thickBot="1" x14ac:dyDescent="0.35">
      <c r="A33" s="997"/>
      <c r="C33" s="945" t="str">
        <f>IFERROR(IF(AND(Y53="",AR48=""),"",IF(Y54="ok",C17-Y53,AR48+'Cálc. Sist. Extinção Automática'!AX10)),"")</f>
        <v/>
      </c>
      <c r="D33" s="946" t="str">
        <f>IF(C33="","",IF('Cálc. Sist. Extinção Automática'!AU14=0,"",IF(D22=0,0,D22)))</f>
        <v/>
      </c>
      <c r="E33" s="945" t="str">
        <f>IF(C33="","",IF(Y54="ok",E17-Y53,IF('Cálc. Sist. Extinção Automática'!AU14=0,"",IF(E28=0,0,E28))))</f>
        <v/>
      </c>
      <c r="F33" s="947" t="str">
        <f>IFERROR(IF('Cálc. Sist. Extinção Automática'!AU14=0,"",(C33-E33)/(D33^1.85)),"")</f>
        <v/>
      </c>
      <c r="G33" s="925"/>
      <c r="H33" s="925"/>
      <c r="I33" s="925"/>
      <c r="J33" s="925"/>
      <c r="K33" s="925"/>
      <c r="L33" s="925"/>
      <c r="M33" s="925"/>
      <c r="N33" s="925"/>
      <c r="O33" s="925"/>
      <c r="P33" s="948" t="str">
        <f>IF('Cálc. Sist. Extinção Automática'!AU19="","","=")</f>
        <v>=</v>
      </c>
      <c r="Q33" s="949" t="str">
        <f>IF('Cálc. Sist. Extinção Automática'!AX9="","?",'Cálc. Sist. Extinção Automática'!AX9)</f>
        <v>?</v>
      </c>
      <c r="R33" s="950" t="s">
        <v>705</v>
      </c>
      <c r="S33" s="1391" t="str">
        <f>IF('Cálc. Sist. Extinção Automática'!AR6="","?",IF('Cálc. Sist. Extinção Automática'!AR6-ABS('Cálc. Sist. Extinção Automática'!AR7)=0,'Cálc. Sist. Extinção Automática'!AR6,'Cálc. Sist. Extinção Automática'!AR6-ABS('Cálc. Sist. Extinção Automática'!AR7)))</f>
        <v>?</v>
      </c>
      <c r="T33" s="1050" t="str">
        <f>IF(S33&lt;&gt;"","m","")</f>
        <v>m</v>
      </c>
      <c r="U33" s="1121" t="str">
        <f>IF(AND($S$34&gt;0,S34&lt;&gt;"?",S34&lt;&gt;""),"Nota: com a bomba em aspiração","")</f>
        <v/>
      </c>
      <c r="V33" s="929"/>
      <c r="W33" s="940"/>
      <c r="X33" s="940"/>
      <c r="Y33" s="940"/>
      <c r="Z33" s="940"/>
      <c r="AA33" s="940"/>
      <c r="AB33" s="940"/>
      <c r="AC33" s="940"/>
      <c r="AD33" s="940"/>
      <c r="AE33" s="940"/>
      <c r="AF33" s="940"/>
      <c r="AG33" s="925"/>
      <c r="AH33" s="925"/>
      <c r="AI33" s="925"/>
      <c r="AJ33" s="925"/>
      <c r="AK33" s="925"/>
      <c r="AL33" s="925"/>
      <c r="AM33" s="925"/>
      <c r="AN33" s="925"/>
      <c r="AO33" s="940"/>
      <c r="AP33" s="940"/>
      <c r="AQ33" s="940"/>
      <c r="AR33" s="940"/>
      <c r="AS33" s="940"/>
      <c r="AT33" s="940"/>
      <c r="AU33" s="940"/>
      <c r="AV33" s="940"/>
      <c r="AW33" s="940"/>
      <c r="AX33" s="940"/>
      <c r="AY33" s="940"/>
      <c r="AZ33" s="940"/>
      <c r="BA33" s="940"/>
      <c r="BB33" s="940"/>
      <c r="BC33" s="940"/>
      <c r="BD33" s="940"/>
      <c r="BE33" s="940"/>
      <c r="BF33" s="940"/>
      <c r="BG33" s="940"/>
      <c r="BH33" s="940"/>
      <c r="BI33" s="940"/>
      <c r="BJ33" s="940"/>
      <c r="BK33" s="940"/>
      <c r="BL33" s="940"/>
      <c r="BM33" s="940"/>
      <c r="BN33" s="940"/>
      <c r="BO33" s="940"/>
    </row>
    <row r="34" spans="1:67" ht="14.25" customHeight="1" thickTop="1" thickBot="1" x14ac:dyDescent="0.35">
      <c r="A34" s="996"/>
      <c r="C34" s="925"/>
      <c r="D34" s="940"/>
      <c r="E34" s="925"/>
      <c r="F34" s="925"/>
      <c r="G34" s="925"/>
      <c r="H34" s="925"/>
      <c r="I34" s="925"/>
      <c r="J34" s="925"/>
      <c r="K34" s="925"/>
      <c r="L34" s="925"/>
      <c r="M34" s="925"/>
      <c r="N34" s="925"/>
      <c r="O34" s="925"/>
      <c r="P34" s="925"/>
      <c r="Q34" s="925"/>
      <c r="R34" s="950" t="s">
        <v>706</v>
      </c>
      <c r="S34" s="1391" t="str">
        <f>IF('Cálc. Sist. Extinção Automática'!AR7="","?",'Cálc. Sist. Extinção Automática'!AR7)</f>
        <v>?</v>
      </c>
      <c r="T34" s="1050" t="str">
        <f>IF(S34&lt;&gt;"","m","")</f>
        <v>m</v>
      </c>
      <c r="U34" s="981" t="str">
        <f>IF(AND($S$34&gt;0,S34&lt;&gt;"?",S34&lt;&gt;""),"negativa, recomenda-se prever um","")</f>
        <v/>
      </c>
    </row>
    <row r="35" spans="1:67" ht="15.45" thickTop="1" thickBot="1" x14ac:dyDescent="0.35">
      <c r="A35" s="996"/>
      <c r="C35" s="925" t="str">
        <f>"Previsão: func. mais crítico em caudal ("&amp;$AC$72&amp;" Sprinklers)"</f>
        <v>Previsão: func. mais crítico em caudal (18 Sprinklers)</v>
      </c>
      <c r="D35" s="940"/>
      <c r="E35" s="925"/>
      <c r="F35" s="925"/>
      <c r="G35" s="951"/>
      <c r="H35" s="925"/>
      <c r="I35" s="925"/>
      <c r="J35" s="925"/>
      <c r="K35" s="925"/>
      <c r="L35" s="925"/>
      <c r="M35" s="925"/>
      <c r="N35" s="925"/>
      <c r="O35" s="925"/>
      <c r="P35" s="925"/>
      <c r="Q35" s="952"/>
      <c r="R35" s="950"/>
      <c r="S35" s="1391" t="str">
        <f>IF('Cálc. Sist. Extinção Automática'!AR8="","",'Cálc. Sist. Extinção Automática'!AR8)</f>
        <v/>
      </c>
      <c r="T35" s="1050" t="str">
        <f>IF(S35&lt;&gt;"","m","")</f>
        <v/>
      </c>
      <c r="U35" s="1122" t="str">
        <f>IF(AND($S$34&gt;0,S34&lt;&gt;"?",S34&lt;&gt;""),"sistema automático de ferragem.","")</f>
        <v/>
      </c>
    </row>
    <row r="36" spans="1:67" ht="16.5" customHeight="1" thickTop="1" thickBot="1" x14ac:dyDescent="0.45">
      <c r="A36" s="996"/>
      <c r="C36" s="942" t="s">
        <v>701</v>
      </c>
      <c r="D36" s="942" t="s">
        <v>702</v>
      </c>
      <c r="E36" s="925"/>
      <c r="F36" s="925"/>
      <c r="G36" s="953"/>
      <c r="H36" s="925"/>
      <c r="I36" s="1100" t="str">
        <f>IF('Cálc. Sist. Extinção Automática'!BA6="","",'Cálc. Sist. Extinção Automática'!BA6)</f>
        <v/>
      </c>
      <c r="J36" s="925"/>
      <c r="K36" s="925"/>
      <c r="L36" s="925"/>
      <c r="M36" s="925"/>
      <c r="N36" s="1100" t="str">
        <f>IF('Cálc. Sist. Extinção Automática'!AY5="","",'Cálc. Sist. Extinção Automática'!AY5)</f>
        <v/>
      </c>
      <c r="O36" s="925"/>
      <c r="P36" s="925"/>
      <c r="Q36" s="925"/>
      <c r="R36" s="925"/>
      <c r="S36" s="925"/>
      <c r="T36" s="925"/>
    </row>
    <row r="37" spans="1:67" ht="15.75" customHeight="1" thickBot="1" x14ac:dyDescent="0.35">
      <c r="A37" s="996"/>
      <c r="C37" s="943" t="str">
        <f>C16</f>
        <v>kPa</v>
      </c>
      <c r="D37" s="943" t="str">
        <f>D16</f>
        <v>l/min</v>
      </c>
      <c r="E37" s="925"/>
      <c r="F37" s="925"/>
      <c r="G37" s="925"/>
      <c r="H37" s="925"/>
      <c r="I37" s="925"/>
      <c r="J37" s="925"/>
      <c r="K37" s="925"/>
      <c r="L37" s="925"/>
      <c r="M37" s="925"/>
      <c r="N37" s="925"/>
      <c r="O37" s="925"/>
      <c r="P37" s="925"/>
      <c r="Q37" s="925"/>
      <c r="R37" s="925"/>
      <c r="S37" s="925"/>
      <c r="T37" s="925"/>
    </row>
    <row r="38" spans="1:67" ht="15" customHeight="1" thickTop="1" thickBot="1" x14ac:dyDescent="0.35">
      <c r="A38" s="996"/>
      <c r="C38" s="954" t="str">
        <f>IF('Cálc. Sist. Extinção Automática'!AU14=0,"",T123)</f>
        <v/>
      </c>
      <c r="D38" s="955" t="str">
        <f>IF('Cálc. Sist. Extinção Automática'!AU14=0,"",T124)</f>
        <v/>
      </c>
      <c r="E38" s="925"/>
      <c r="F38" s="925"/>
      <c r="G38" s="925"/>
      <c r="H38" s="925"/>
      <c r="I38" s="925"/>
      <c r="J38" s="925"/>
      <c r="K38" s="925"/>
      <c r="L38" s="925"/>
      <c r="M38" s="925"/>
      <c r="N38" s="925"/>
      <c r="O38" s="925"/>
      <c r="P38" s="925"/>
      <c r="Q38" s="925"/>
      <c r="R38" s="925"/>
      <c r="S38" s="925"/>
      <c r="T38" s="925"/>
    </row>
    <row r="39" spans="1:67" ht="15.75" customHeight="1" thickTop="1" thickBot="1" x14ac:dyDescent="0.45">
      <c r="A39" s="996"/>
      <c r="B39" s="956"/>
      <c r="C39" s="957" t="str">
        <f>"Ponto de funcionamento mais crítico"&amp;" ("&amp;$AC$72&amp;" Sprinklers)"</f>
        <v>Ponto de funcionamento mais crítico (18 Sprinklers)</v>
      </c>
    </row>
    <row r="40" spans="1:67" ht="15.75" customHeight="1" thickTop="1" thickBot="1" x14ac:dyDescent="0.45">
      <c r="A40" s="996"/>
      <c r="B40" s="958"/>
      <c r="C40" s="957" t="s">
        <v>946</v>
      </c>
    </row>
    <row r="41" spans="1:67" ht="15.75" customHeight="1" thickTop="1" thickBot="1" x14ac:dyDescent="0.45">
      <c r="A41" s="996"/>
      <c r="B41" s="959"/>
      <c r="C41" s="957" t="s">
        <v>947</v>
      </c>
    </row>
    <row r="42" spans="1:67" ht="15.75" customHeight="1" thickTop="1" thickBot="1" x14ac:dyDescent="0.45">
      <c r="A42" s="996"/>
      <c r="B42" s="960"/>
      <c r="C42" s="957" t="s">
        <v>707</v>
      </c>
    </row>
    <row r="43" spans="1:67" ht="16.5" customHeight="1" thickTop="1" thickBot="1" x14ac:dyDescent="0.45">
      <c r="A43" s="996"/>
      <c r="B43" s="961"/>
      <c r="C43" s="957" t="s">
        <v>708</v>
      </c>
      <c r="N43" s="962" t="s">
        <v>709</v>
      </c>
      <c r="O43" s="963" t="str">
        <f>IF('Cálc. Sist. Extinção Automática'!AU18=0,"?",'Cálc. Sist. Extinção Automática'!AU18)</f>
        <v>?</v>
      </c>
      <c r="P43" s="929" t="s">
        <v>710</v>
      </c>
    </row>
    <row r="44" spans="1:67" ht="10.5" customHeight="1" thickTop="1" x14ac:dyDescent="0.3">
      <c r="A44" s="998"/>
      <c r="B44" s="999"/>
      <c r="C44" s="999"/>
      <c r="D44" s="1000"/>
      <c r="E44" s="999"/>
      <c r="F44" s="999"/>
      <c r="G44" s="999"/>
      <c r="H44" s="999"/>
      <c r="I44" s="999"/>
      <c r="J44" s="999"/>
      <c r="K44" s="999"/>
      <c r="L44" s="999"/>
      <c r="M44" s="999"/>
      <c r="N44" s="999"/>
      <c r="O44" s="999"/>
      <c r="P44" s="999"/>
      <c r="Q44" s="999"/>
      <c r="R44" s="999"/>
      <c r="S44" s="999"/>
      <c r="T44" s="999"/>
    </row>
    <row r="45" spans="1:67" ht="13.5" customHeight="1" x14ac:dyDescent="0.3"/>
    <row r="46" spans="1:67" s="925" customFormat="1" x14ac:dyDescent="0.3">
      <c r="D46" s="940"/>
    </row>
    <row r="47" spans="1:67" s="925" customFormat="1" ht="12.9" thickBot="1" x14ac:dyDescent="0.35">
      <c r="D47" s="940"/>
      <c r="W47" s="1094" t="s">
        <v>757</v>
      </c>
      <c r="X47" s="1083"/>
      <c r="Y47" s="1083"/>
      <c r="Z47" s="1083"/>
      <c r="AA47" s="1083"/>
      <c r="AB47" s="1083"/>
      <c r="AC47" s="1083"/>
      <c r="AD47" s="1083"/>
      <c r="AE47" s="1083"/>
      <c r="AF47" s="1083"/>
      <c r="AG47" s="1083"/>
      <c r="AH47" s="1083"/>
      <c r="AK47" s="1094" t="s">
        <v>772</v>
      </c>
      <c r="AL47" s="1083"/>
      <c r="AM47" s="1083"/>
      <c r="AN47" s="1083"/>
      <c r="AO47" s="1083"/>
      <c r="AP47" s="1083"/>
      <c r="AQ47" s="1083"/>
      <c r="AR47" s="1083"/>
    </row>
    <row r="48" spans="1:67" s="925" customFormat="1" ht="17.25" customHeight="1" thickTop="1" thickBot="1" x14ac:dyDescent="0.4">
      <c r="B48" s="1091" t="s">
        <v>777</v>
      </c>
      <c r="D48" s="940"/>
      <c r="H48" s="910"/>
      <c r="I48" s="910"/>
      <c r="J48" s="910"/>
      <c r="K48" s="910"/>
      <c r="L48" s="910"/>
      <c r="M48" s="1098" t="s">
        <v>686</v>
      </c>
      <c r="N48" s="908" t="s">
        <v>688</v>
      </c>
      <c r="O48" s="1097" t="str">
        <f>IF(AH48="","? "&amp;M57,ROUND(AH48,'Cálc. Sist. Extinção Automática'!$BM$5)&amp;" "&amp;$M$57)</f>
        <v>? kPa</v>
      </c>
      <c r="W48" s="925" t="s">
        <v>780</v>
      </c>
      <c r="AF48" s="1079" t="s">
        <v>686</v>
      </c>
      <c r="AH48" s="136" t="str">
        <f>IF($C$24="","",SUM(AH49+AH50+AH51))</f>
        <v/>
      </c>
      <c r="AP48" s="1079" t="s">
        <v>686</v>
      </c>
      <c r="AR48" s="136" t="str">
        <f>IF($C$24="","",SUM(AR49+AR50+AR51))</f>
        <v/>
      </c>
    </row>
    <row r="49" spans="1:44" s="925" customFormat="1" ht="15.75" customHeight="1" thickTop="1" thickBot="1" x14ac:dyDescent="0.35">
      <c r="D49" s="940"/>
      <c r="H49" s="909"/>
      <c r="I49" s="909"/>
      <c r="J49" s="909"/>
      <c r="K49" s="909"/>
      <c r="L49" s="909"/>
      <c r="M49" s="909" t="s">
        <v>691</v>
      </c>
      <c r="N49" s="908" t="s">
        <v>687</v>
      </c>
      <c r="O49" s="1097" t="str">
        <f>IF(AH49="","? "&amp;M57,ROUND(AH49,'Cálc. Sist. Extinção Automática'!$BM$5)&amp;" "&amp;$M$57)</f>
        <v>56,3 kPa</v>
      </c>
      <c r="X49" s="1106" t="s">
        <v>781</v>
      </c>
      <c r="Y49" s="1107" t="s">
        <v>782</v>
      </c>
      <c r="AF49" s="1081" t="s">
        <v>691</v>
      </c>
      <c r="AH49" s="136">
        <f>'Cálc. Sist. Extinção Automática'!AU9</f>
        <v>56.25</v>
      </c>
      <c r="AP49" s="1081" t="s">
        <v>691</v>
      </c>
      <c r="AR49" s="136">
        <f>'Cálc. Sist. Extinção Automática'!AU9</f>
        <v>56.25</v>
      </c>
    </row>
    <row r="50" spans="1:44" ht="15" thickTop="1" thickBot="1" x14ac:dyDescent="0.35">
      <c r="A50" s="925"/>
      <c r="C50" s="1062" t="str">
        <f>IF(C24="","",C24)</f>
        <v/>
      </c>
      <c r="D50" s="1423" t="s">
        <v>773</v>
      </c>
      <c r="H50" s="910"/>
      <c r="I50" s="910"/>
      <c r="J50" s="910"/>
      <c r="K50" s="910"/>
      <c r="L50" s="910"/>
      <c r="M50" s="1098" t="s">
        <v>775</v>
      </c>
      <c r="N50" s="912" t="s">
        <v>778</v>
      </c>
      <c r="O50" s="925" t="str">
        <f>IF(AH50="","? "&amp;M57,ROUND(AH50,'Cálc. Sist. Extinção Automática'!$BM$5)&amp;" "&amp;$M$57)</f>
        <v>? kPa</v>
      </c>
      <c r="P50" s="925"/>
      <c r="Q50" s="925"/>
      <c r="R50" s="925"/>
      <c r="S50" s="925"/>
      <c r="T50" s="925"/>
      <c r="U50" s="925"/>
      <c r="V50" s="925"/>
      <c r="W50" s="1108" t="str">
        <f>C50</f>
        <v/>
      </c>
      <c r="X50" s="1109" t="str">
        <f>IFERROR(MATCH($C$24,'Cálc. Sist. Extinção Automática'!FG141:FG165,0),"")</f>
        <v/>
      </c>
      <c r="Y50" s="1110" t="str">
        <f>IF($X$50="","",LOOKUP($X$50,'Cálc. Sist. Extinção Automática'!EY141:EY165,'Cálc. Sist. Extinção Automática'!FE141:FE165))</f>
        <v/>
      </c>
      <c r="Z50" s="1034" t="str">
        <f>C16</f>
        <v>kPa</v>
      </c>
      <c r="AF50" s="1079" t="s">
        <v>776</v>
      </c>
      <c r="AG50" s="136" t="str">
        <f>IF($C$24="","",AI72)</f>
        <v/>
      </c>
      <c r="AH50" s="136" t="str">
        <f>IF($C$24="","",AG72)</f>
        <v/>
      </c>
      <c r="AP50" s="1079" t="s">
        <v>770</v>
      </c>
      <c r="AQ50" s="136" t="str">
        <f>IF($C$24="","",AI72)</f>
        <v/>
      </c>
      <c r="AR50" s="136" t="str">
        <f>IF($C$24="","",AO72)</f>
        <v/>
      </c>
    </row>
    <row r="51" spans="1:44" s="925" customFormat="1" ht="17.600000000000001" thickTop="1" thickBot="1" x14ac:dyDescent="0.35">
      <c r="H51" s="911"/>
      <c r="I51" s="911"/>
      <c r="J51" s="911"/>
      <c r="K51" s="911"/>
      <c r="L51" s="911"/>
      <c r="M51" s="909" t="s">
        <v>768</v>
      </c>
      <c r="N51" s="912" t="s">
        <v>779</v>
      </c>
      <c r="O51" s="925" t="str">
        <f>IF(AH51="","? "&amp;M57,ROUND(AH51,'Cálc. Sist. Extinção Automática'!$BM$5)&amp;" "&amp;$M$57)</f>
        <v>? kPa</v>
      </c>
      <c r="X51" s="1106" t="s">
        <v>781</v>
      </c>
      <c r="Y51" s="1107" t="s">
        <v>782</v>
      </c>
      <c r="AF51" s="1079" t="s">
        <v>771</v>
      </c>
      <c r="AG51" s="136" t="str">
        <f>IF($C$24="","",N68)</f>
        <v/>
      </c>
      <c r="AH51" s="136" t="str">
        <f>IF($C$24="","",O68)</f>
        <v/>
      </c>
      <c r="AP51" s="1079" t="s">
        <v>771</v>
      </c>
      <c r="AQ51" s="136" t="str">
        <f>IF($C$24="","",AQ68)</f>
        <v/>
      </c>
      <c r="AR51" s="136" t="str">
        <f>IF($C$24="","",AR68)</f>
        <v/>
      </c>
    </row>
    <row r="52" spans="1:44" s="925" customFormat="1" ht="14.25" customHeight="1" thickTop="1" thickBot="1" x14ac:dyDescent="0.35">
      <c r="B52" s="977" t="s">
        <v>774</v>
      </c>
      <c r="D52" s="940"/>
      <c r="W52" s="1117" t="str">
        <f>'Cálc. Sist. Extinção Automática'!ES168</f>
        <v/>
      </c>
      <c r="X52" s="1109">
        <f>IFERROR('Cálc. Sist. Extinção Automática'!ER168,"")</f>
        <v>1</v>
      </c>
      <c r="Y52" s="1110">
        <f>IF($X$52="","",LOOKUP($X$52,'Cálc. Sist. Extinção Automática'!EY141:EY165,'Cálc. Sist. Extinção Automática'!FE141:FE165))</f>
        <v>0</v>
      </c>
      <c r="Z52" s="1034" t="str">
        <f>Z50</f>
        <v>kPa</v>
      </c>
    </row>
    <row r="53" spans="1:44" s="925" customFormat="1" ht="13.3" thickTop="1" thickBot="1" x14ac:dyDescent="0.35">
      <c r="A53" s="1"/>
      <c r="B53" s="1264"/>
      <c r="C53" s="1566" t="s">
        <v>72</v>
      </c>
      <c r="D53" s="1566"/>
      <c r="E53" s="1262" t="s">
        <v>97</v>
      </c>
      <c r="F53" s="1262" t="s">
        <v>62</v>
      </c>
      <c r="G53" s="1262" t="s">
        <v>46</v>
      </c>
      <c r="H53" s="1261" t="s">
        <v>287</v>
      </c>
      <c r="I53" s="1262" t="s">
        <v>299</v>
      </c>
      <c r="J53" s="1262" t="s">
        <v>295</v>
      </c>
      <c r="K53" s="1261" t="s">
        <v>80</v>
      </c>
      <c r="L53" s="1261" t="s">
        <v>296</v>
      </c>
      <c r="M53" s="1262" t="s">
        <v>298</v>
      </c>
      <c r="N53" s="1262"/>
      <c r="O53" s="1263" t="s">
        <v>302</v>
      </c>
      <c r="X53" s="1081" t="s">
        <v>783</v>
      </c>
      <c r="Y53" s="1111" t="str">
        <f>IF(OR(Y50="",Y52=""),"",Y52-Y50)</f>
        <v/>
      </c>
      <c r="Z53" s="1034" t="str">
        <f>Z52</f>
        <v>kPa</v>
      </c>
    </row>
    <row r="54" spans="1:44" s="925" customFormat="1" ht="14.6" thickTop="1" x14ac:dyDescent="0.3">
      <c r="B54" s="1567" t="s">
        <v>60</v>
      </c>
      <c r="C54" s="1568"/>
      <c r="D54" s="1569"/>
      <c r="E54" s="1088" t="s">
        <v>759</v>
      </c>
      <c r="F54" s="1567" t="str">
        <f>IF(CP100&gt;=1," Erro: L não pode ser inferior a h","Comprimentos dos troços")</f>
        <v>Comprimentos dos troços</v>
      </c>
      <c r="G54" s="1570"/>
      <c r="H54" s="1570"/>
      <c r="I54" s="1571"/>
      <c r="J54" s="1068" t="s">
        <v>209</v>
      </c>
      <c r="K54" s="1565" t="s">
        <v>760</v>
      </c>
      <c r="L54" s="1520"/>
      <c r="M54" s="1565" t="s">
        <v>767</v>
      </c>
      <c r="N54" s="1519"/>
      <c r="O54" s="1520"/>
      <c r="X54" s="1081" t="s">
        <v>784</v>
      </c>
      <c r="Y54" s="1112" t="str">
        <f>IF($Y$50&lt;$AG$50,"ok","")</f>
        <v/>
      </c>
      <c r="Z54" s="781" t="s">
        <v>785</v>
      </c>
      <c r="AA54" s="781"/>
      <c r="AB54" s="781"/>
      <c r="AC54" s="781"/>
      <c r="AD54" s="781"/>
      <c r="AE54" s="781"/>
      <c r="AF54" s="781"/>
    </row>
    <row r="55" spans="1:44" s="925" customFormat="1" ht="12.9" thickBot="1" x14ac:dyDescent="0.35">
      <c r="B55" s="1572" t="s">
        <v>512</v>
      </c>
      <c r="C55" s="1573"/>
      <c r="D55" s="1574"/>
      <c r="E55" s="1069" t="s">
        <v>514</v>
      </c>
      <c r="F55" s="1070" t="s">
        <v>515</v>
      </c>
      <c r="G55" s="1071" t="s">
        <v>516</v>
      </c>
      <c r="H55" s="1072" t="s">
        <v>517</v>
      </c>
      <c r="I55" s="1073" t="s">
        <v>518</v>
      </c>
      <c r="J55" s="1074" t="s">
        <v>521</v>
      </c>
      <c r="K55" s="1075" t="s">
        <v>523</v>
      </c>
      <c r="L55" s="1076" t="s">
        <v>524</v>
      </c>
      <c r="M55" s="1077" t="s">
        <v>761</v>
      </c>
      <c r="N55" s="1076" t="s">
        <v>762</v>
      </c>
      <c r="O55" s="1074" t="s">
        <v>763</v>
      </c>
      <c r="Z55" s="1"/>
      <c r="AA55" s="255"/>
      <c r="AB55" s="777" t="s">
        <v>273</v>
      </c>
      <c r="AC55" s="777"/>
      <c r="AD55" s="255"/>
      <c r="AE55" s="777" t="s">
        <v>273</v>
      </c>
      <c r="AF55" s="777"/>
      <c r="AG55" s="1095" t="s">
        <v>47</v>
      </c>
    </row>
    <row r="56" spans="1:44" s="925" customFormat="1" ht="18.45" thickTop="1" thickBot="1" x14ac:dyDescent="0.35">
      <c r="B56" s="1092" t="s">
        <v>119</v>
      </c>
      <c r="C56" s="1078" t="s">
        <v>53</v>
      </c>
      <c r="D56" s="1078" t="s">
        <v>52</v>
      </c>
      <c r="E56" s="502" t="s">
        <v>459</v>
      </c>
      <c r="F56" s="1053" t="s">
        <v>376</v>
      </c>
      <c r="G56" s="503" t="s">
        <v>332</v>
      </c>
      <c r="H56" s="1053" t="s">
        <v>758</v>
      </c>
      <c r="I56" s="183" t="s">
        <v>458</v>
      </c>
      <c r="J56" s="507" t="s">
        <v>374</v>
      </c>
      <c r="K56" s="508" t="s">
        <v>334</v>
      </c>
      <c r="L56" s="1065" t="s">
        <v>335</v>
      </c>
      <c r="M56" s="1067" t="s">
        <v>950</v>
      </c>
      <c r="N56" s="1067" t="s">
        <v>949</v>
      </c>
      <c r="O56" s="1067" t="s">
        <v>951</v>
      </c>
      <c r="W56" s="182" t="s">
        <v>335</v>
      </c>
      <c r="Z56" s="1"/>
      <c r="AA56" s="255"/>
      <c r="AB56" s="777" t="s">
        <v>326</v>
      </c>
      <c r="AC56" s="777"/>
      <c r="AD56" s="255"/>
      <c r="AE56" s="777" t="s">
        <v>325</v>
      </c>
      <c r="AF56" s="777"/>
      <c r="AG56" s="499" t="s">
        <v>59</v>
      </c>
      <c r="AK56" s="507" t="s">
        <v>374</v>
      </c>
      <c r="AN56" s="499" t="s">
        <v>59</v>
      </c>
      <c r="AO56" s="1089"/>
      <c r="AP56" s="1066" t="s">
        <v>204</v>
      </c>
      <c r="AQ56" s="1067" t="s">
        <v>765</v>
      </c>
      <c r="AR56" s="1067" t="s">
        <v>766</v>
      </c>
    </row>
    <row r="57" spans="1:44" s="925" customFormat="1" ht="13.3" thickTop="1" thickBot="1" x14ac:dyDescent="0.35">
      <c r="B57" s="519" t="s">
        <v>91</v>
      </c>
      <c r="C57" s="511"/>
      <c r="D57" s="512"/>
      <c r="E57" s="513" t="s">
        <v>91</v>
      </c>
      <c r="F57" s="514" t="s">
        <v>40</v>
      </c>
      <c r="G57" s="1087" t="s">
        <v>40</v>
      </c>
      <c r="H57" s="515" t="s">
        <v>40</v>
      </c>
      <c r="I57" s="516" t="s">
        <v>40</v>
      </c>
      <c r="J57" s="519" t="str">
        <f>D16</f>
        <v>l/min</v>
      </c>
      <c r="K57" s="1087" t="s">
        <v>39</v>
      </c>
      <c r="L57" s="1087" t="s">
        <v>39</v>
      </c>
      <c r="M57" s="520" t="str">
        <f>C16</f>
        <v>kPa</v>
      </c>
      <c r="N57" s="520" t="str">
        <f>M57</f>
        <v>kPa</v>
      </c>
      <c r="O57" s="520" t="str">
        <f>N57</f>
        <v>kPa</v>
      </c>
      <c r="W57" s="1087" t="s">
        <v>39</v>
      </c>
      <c r="Z57" s="1"/>
      <c r="AA57" s="256" t="s">
        <v>327</v>
      </c>
      <c r="AB57" s="256" t="s">
        <v>328</v>
      </c>
      <c r="AC57" s="256" t="s">
        <v>329</v>
      </c>
      <c r="AD57" s="256" t="s">
        <v>272</v>
      </c>
      <c r="AE57" s="256" t="s">
        <v>271</v>
      </c>
      <c r="AF57" s="256" t="s">
        <v>109</v>
      </c>
      <c r="AG57" s="500" t="s">
        <v>51</v>
      </c>
      <c r="AK57" s="519" t="str">
        <f>J57</f>
        <v>l/min</v>
      </c>
      <c r="AN57" s="500" t="s">
        <v>51</v>
      </c>
      <c r="AO57" s="1089"/>
      <c r="AP57" s="520" t="str">
        <f>M57</f>
        <v>kPa</v>
      </c>
      <c r="AQ57" s="520" t="str">
        <f>AP57</f>
        <v>kPa</v>
      </c>
      <c r="AR57" s="520" t="str">
        <f>AQ57</f>
        <v>kPa</v>
      </c>
    </row>
    <row r="58" spans="1:44" ht="15.75" customHeight="1" thickTop="1" thickBot="1" x14ac:dyDescent="0.35">
      <c r="A58" s="925"/>
      <c r="B58" s="1093" t="str">
        <f>IF(OR(C58="",MAX('Cálc. Sist. Extinção Automática'!E25:E49)=0),"",MAX('Cálc. Sist. Extinção Automática'!E25:E49)+1)</f>
        <v/>
      </c>
      <c r="C58" s="1062" t="str">
        <f>IF(C24="","",C24)</f>
        <v/>
      </c>
      <c r="D58" s="839"/>
      <c r="E58" s="840"/>
      <c r="F58" s="841"/>
      <c r="G58" s="842"/>
      <c r="H58" s="1132"/>
      <c r="I58" s="1270" t="str">
        <f>IF(OR($C$58="",F58=""),"",IF(H58="",F58*(1+'Cálc. Sist. Extinção Automática'!$P$14),F58+H58))</f>
        <v/>
      </c>
      <c r="J58" s="1276" t="str">
        <f>IF(OR($C$58="",F58=""),"",MAX('Cálc. Sist. Extinção Automática'!$R$25:$R$49))</f>
        <v/>
      </c>
      <c r="K58" s="1133"/>
      <c r="L58" s="849" t="str">
        <f>IF(OR($C$58="",D58="",W58=""),"",W58)</f>
        <v/>
      </c>
      <c r="M58" s="1272" t="str">
        <f>IF(OR('Cálc. Sist. Extinção Automática'!$P$16="",J58="",L58="",$C$58=""),"",IF('Cálc. Sist. Extinção Automática'!$M$15="",'Cálc. Sist. Extinção Automática'!$B$18*'Cálc. Sist. Extinção Automática'!$AU$19*I58*61.7*100000*((J58/'Cálc. Sist. Extinção Automática'!$B$17)^1.85/('Cálc. Sist. Extinção Automática'!$P$16^1.85*L58^4.87)),'Cálc. Sist. Extinção Automática'!$B$18*'Cálc. Sist. Extinção Automática'!$AU$19*I58*((4*'Cálc. Sist. Extinção Automática'!$P$16*((AG58^7)/(L58/1000))^(1/4))/(L58/1000))))</f>
        <v/>
      </c>
      <c r="N58" s="1272" t="str">
        <f>IF(OR($C$58="",G58="",G58=0),"",G58*'Cálc. Sist. Extinção Automática'!$AU$19*'Cálc. Sist. Extinção Automática'!$B$18)</f>
        <v/>
      </c>
      <c r="O58" s="1272" t="str">
        <f>IF(AND(M58="",N58=""),"",IF(N58="",M58,(M58+N58)))</f>
        <v/>
      </c>
      <c r="P58" s="925"/>
      <c r="Q58" s="925"/>
      <c r="R58" s="925"/>
      <c r="S58" s="925"/>
      <c r="T58" s="925"/>
      <c r="U58" s="925"/>
      <c r="V58" s="925"/>
      <c r="W58" s="849" t="str">
        <f>IF(MAX(X58,Y58)=0,"",MAX(X58,Y58))</f>
        <v/>
      </c>
      <c r="X58" s="849" t="str">
        <f>IF(K58="","",IF($K58&lt;='Quadro 1'!$G$10,'Quadro 1'!$G$10,IF($K58&lt;='Quadro 1'!$G$11,'Quadro 1'!$G$11,IF($K58&lt;='Quadro 1'!$G$12,'Quadro 1'!$G$12,IF($K58&lt;='Quadro 1'!$G$13,'Quadro 1'!$G$13,IF($K58&lt;='Quadro 1'!$G$14,'Quadro 1'!$G$14,IF($K58&lt;='Quadro 1'!$G$15,'Quadro 1'!$G$15,IF($K58&lt;='Quadro 1'!$G$16,'Quadro 1'!$G$16,IF($K58&lt;='Quadro 1'!$G$17,'Quadro 1'!$G$17,IF($K58&lt;='Quadro 1'!$G$18,'Quadro 1'!$G$18,IF($K58&lt;='Quadro 1'!$G$19,'Quadro 1'!$G$19,IF($K58&lt;='Quadro 1'!$G$20,'Quadro 1'!$G$20,IF($K58&lt;='Quadro 1'!$G$21,'Quadro 1'!$G$21,IF($K58&lt;='Quadro 1'!$G$22,'Quadro 1'!$G$22,IF($K58&lt;='Quadro 1'!$G$23,'Quadro 1'!$G$23,'Quadro 1'!$G$23)))))))))))))))</f>
        <v/>
      </c>
      <c r="Y58" s="849" t="str">
        <f>IF(C58="","",IF(AND('Cálc. Sist. Extinção Automática'!$A$5&gt;=1,'Cálc. Sist. Extinção Automática'!$A$5&lt;=7,MAX($AD58:$AF58)=0),"",IF(AND('Cálc. Sist. Extinção Automática'!$A$5&gt;=1,'Cálc. Sist. Extinção Automática'!$A$5&lt;=7),MAX($AD58:$AF58),IF(AND('Cálc. Sist. Extinção Automática'!$A$5&gt;=11,'Cálc. Sist. Extinção Automática'!$A$5&lt;=18),MAX($AA58:$AC58),IF('Cálc. Sist. Extinção Automática'!$A$5=8,$AA58,IF('Cálc. Sist. Extinção Automática'!$A$5=9,$AB58,IF('Cálc. Sist. Extinção Automática'!$A$5=10,$AC58,"")))))))</f>
        <v/>
      </c>
      <c r="Z58" s="257">
        <f t="shared" ref="Z58:Z67" si="0">E58</f>
        <v>0</v>
      </c>
      <c r="AA58" s="496">
        <f t="shared" ref="AA58:AB67" si="1">IF($Z58&lt;=2,27.3,IF($Z58&lt;=3,36,IF($Z58&lt;=5,41.9,IF($Z58&lt;=10,53.1,IF($Z58&lt;=20,68.9,IF($Z58&lt;=30,80.9,IF($Z58&lt;=40,105.3,IF($Z58&lt;=60,129.7,155.1))))))))</f>
        <v>27.3</v>
      </c>
      <c r="AB58" s="496">
        <f t="shared" si="1"/>
        <v>27.3</v>
      </c>
      <c r="AC58" s="496">
        <f t="shared" ref="AC58:AC67" si="2">IF($Z58=1,27.3,IF($Z58&lt;=2,36,IF($Z58&lt;=3,41.9,IF($Z58&lt;=5,53.1,IF($Z58&lt;=8,68.9,IF($Z58&lt;=15,80.9,IF($Z58&lt;=30,105.3,IF($Z58&lt;=40,129.7,155.1))))))))</f>
        <v>36</v>
      </c>
      <c r="AD58" s="495" t="str">
        <f>IF(OR('Cálc. Sist. Extinção Automática'!$A$5&lt;&gt;1,$B58=""),"",IF($Z58&lt;=2,27.3,IF($Z58&lt;=3,36,IF($Z58&lt;=5,41.9,IF($Z58&lt;=10,53.1,IF($Z58&lt;=30,68.9,IF($Z58&lt;=60,80.9,IF($Z58&lt;=100,105.3,129.7))))))))</f>
        <v/>
      </c>
      <c r="AE58" s="496" t="str">
        <f>IF(OR(AND('Cálc. Sist. Extinção Automática'!$A$5&lt;&gt;2,'Cálc. Sist. Extinção Automática'!$A$5&lt;&gt;3,'Cálc. Sist. Extinção Automática'!$A$5&lt;&gt;4),$B58=""),"",IF($Z58&lt;=2,27.3,IF($Z58&lt;=3,36,IF($Z58&lt;=5,41.9,IF($Z58&lt;=10,53.1,IF($Z58&lt;=20,68.9,IF($Z58&lt;=40,80.9,IF($Z58&lt;=100,105.3,129.7))))))))</f>
        <v/>
      </c>
      <c r="AF58" s="496" t="str">
        <f>IF(OR(AND('Cálc. Sist. Extinção Automática'!$A$5&lt;&gt;5,'Cálc. Sist. Extinção Automática'!$A$5&lt;&gt;6),$B58=""),"",IF($Z58&lt;=1,27.3,IF($Z58&lt;=2,36,IF($Z58&lt;=5,41.9,IF($Z58&lt;=8,53.1,IF($Z58&lt;=15,68.9,IF($Z58&lt;=27,80.9,IF($Z58&lt;=55,105.3,129.7))))))))</f>
        <v/>
      </c>
      <c r="AG58" s="523" t="str">
        <f>IF(OR(J58="",L58=""),"",(66.7*J58/'Cálc. Sist. Extinção Automática'!$B$17)/(PI()*W58^2))</f>
        <v/>
      </c>
      <c r="AK58" s="1061" t="str">
        <f>IF(I58="","",'Curvas da Instalação'!$D$22)</f>
        <v/>
      </c>
      <c r="AN58" s="1086" t="str">
        <f>IF(AK58="","",(66.7*AK58/'Cálc. Sist. Extinção Automática'!$B$17)/(PI()*L58^2))</f>
        <v/>
      </c>
      <c r="AO58" s="1089"/>
      <c r="AP58" s="136" t="str">
        <f>IF(AK58="","",IF('Cálc. Sist. Extinção Automática'!$M$15="",'Cálc. Sist. Extinção Automática'!$B$18*'Cálc. Sist. Extinção Automática'!$AU$19*I58*61.7*100000*((AK58/'Cálc. Sist. Extinção Automática'!$B$17)^1.85/('Cálc. Sist. Extinção Automática'!$P$16^1.85*L58^4.87)),'Cálc. Sist. Extinção Automática'!$B$18*'Cálc. Sist. Extinção Automática'!$AU$19*I58*((4*'Cálc. Sist. Extinção Automática'!$P$16*((AN58^7)/(L58/1000))^(1/4))/(L58/1000))))</f>
        <v/>
      </c>
      <c r="AQ58" s="136" t="str">
        <f>IF(AK58="","",N58)</f>
        <v/>
      </c>
      <c r="AR58" s="136" t="str">
        <f>IF(AND(AP58="",AQ58=""),"",IF(AQ58="",AP58,(AP58+AQ58)))</f>
        <v/>
      </c>
    </row>
    <row r="59" spans="1:44" ht="16.5" customHeight="1" thickTop="1" thickBot="1" x14ac:dyDescent="0.35">
      <c r="A59" s="925"/>
      <c r="B59" s="1093" t="str">
        <f>IF(OR(B58="",F59=""),"",B58+1)</f>
        <v/>
      </c>
      <c r="C59" s="843"/>
      <c r="D59" s="844"/>
      <c r="E59" s="845"/>
      <c r="F59" s="841"/>
      <c r="G59" s="842"/>
      <c r="H59" s="1132"/>
      <c r="I59" s="1270" t="str">
        <f>IF(OR($C$58="",F59=""),"",IF(H59="",F59*(1+'Cálc. Sist. Extinção Automática'!$P$14),F59+H59))</f>
        <v/>
      </c>
      <c r="J59" s="1276" t="str">
        <f>IF(OR($C$58="",F59=""),"",MAX('Cálc. Sist. Extinção Automática'!$R$25:$R$49))</f>
        <v/>
      </c>
      <c r="K59" s="1133"/>
      <c r="L59" s="849" t="str">
        <f t="shared" ref="L59:L67" si="3">IF(OR($C$58="",W59=""),"",W59)</f>
        <v/>
      </c>
      <c r="M59" s="1272" t="str">
        <f>IF(OR('Cálc. Sist. Extinção Automática'!$P$16="",J59="",L59="",$C$58=""),"",IF('Cálc. Sist. Extinção Automática'!$M$15="",'Cálc. Sist. Extinção Automática'!$B$18*'Cálc. Sist. Extinção Automática'!$AU$19*I59*61.7*100000*((J59/'Cálc. Sist. Extinção Automática'!$B$17)^1.85/('Cálc. Sist. Extinção Automática'!$P$16^1.85*L59^4.87)),'Cálc. Sist. Extinção Automática'!$B$18*'Cálc. Sist. Extinção Automática'!$AU$19*I59*((4*'Cálc. Sist. Extinção Automática'!$P$16*((AG59^7)/(L59/1000))^(1/4))/(L59/1000))))</f>
        <v/>
      </c>
      <c r="N59" s="1272" t="str">
        <f>IF(OR($C$58="",G59="",G59=0),"",G59*'Cálc. Sist. Extinção Automática'!$AU$19*'Cálc. Sist. Extinção Automática'!$B$18)</f>
        <v/>
      </c>
      <c r="O59" s="1272" t="str">
        <f t="shared" ref="O59:O67" si="4">IF(AND(M59="",N59=""),"",IF(N59="",M59,(M59+N59)))</f>
        <v/>
      </c>
      <c r="P59" s="925"/>
      <c r="Q59" s="925"/>
      <c r="R59" s="925"/>
      <c r="S59" s="925"/>
      <c r="T59" s="925"/>
      <c r="U59" s="925"/>
      <c r="V59" s="925"/>
      <c r="W59" s="849" t="str">
        <f t="shared" ref="W59:W67" si="5">IF(MAX(X59,Y59)=0,"",MAX(X59,Y59))</f>
        <v/>
      </c>
      <c r="X59" s="849" t="str">
        <f>IF(K59="","",IF($K59&lt;='Quadro 1'!$G$10,'Quadro 1'!$G$10,IF($K59&lt;='Quadro 1'!$G$11,'Quadro 1'!$G$11,IF($K59&lt;='Quadro 1'!$G$12,'Quadro 1'!$G$12,IF($K59&lt;='Quadro 1'!$G$13,'Quadro 1'!$G$13,IF($K59&lt;='Quadro 1'!$G$14,'Quadro 1'!$G$14,IF($K59&lt;='Quadro 1'!$G$15,'Quadro 1'!$G$15,IF($K59&lt;='Quadro 1'!$G$16,'Quadro 1'!$G$16,IF($K59&lt;='Quadro 1'!$G$17,'Quadro 1'!$G$17,IF($K59&lt;='Quadro 1'!$G$18,'Quadro 1'!$G$18,IF($K59&lt;='Quadro 1'!$G$19,'Quadro 1'!$G$19,IF($K59&lt;='Quadro 1'!$G$20,'Quadro 1'!$G$20,IF($K59&lt;='Quadro 1'!$G$21,'Quadro 1'!$G$21,IF($K59&lt;='Quadro 1'!$G$22,'Quadro 1'!$G$22,IF($K59&lt;='Quadro 1'!$G$23,'Quadro 1'!$G$23,'Quadro 1'!$G$23)))))))))))))))</f>
        <v/>
      </c>
      <c r="Y59" s="849" t="str">
        <f>IF(C59="","",IF(AND('Cálc. Sist. Extinção Automática'!$A$5&gt;=1,'Cálc. Sist. Extinção Automática'!$A$5&lt;=7,MAX($AD59:$AF59)=0),"",IF(AND('Cálc. Sist. Extinção Automática'!$A$5&gt;=1,'Cálc. Sist. Extinção Automática'!$A$5&lt;=7),MAX($AD59:$AF59),IF(AND('Cálc. Sist. Extinção Automática'!$A$5&gt;=11,'Cálc. Sist. Extinção Automática'!$A$5&lt;=18),MAX($AA59:$AC59),IF('Cálc. Sist. Extinção Automática'!$A$5=8,$AA59,IF('Cálc. Sist. Extinção Automática'!$A$5=9,$AB59,IF('Cálc. Sist. Extinção Automática'!$A$5=10,$AC59,"")))))))</f>
        <v/>
      </c>
      <c r="Z59" s="257">
        <f t="shared" si="0"/>
        <v>0</v>
      </c>
      <c r="AA59" s="496">
        <f t="shared" si="1"/>
        <v>27.3</v>
      </c>
      <c r="AB59" s="496">
        <f t="shared" si="1"/>
        <v>27.3</v>
      </c>
      <c r="AC59" s="496">
        <f t="shared" si="2"/>
        <v>36</v>
      </c>
      <c r="AD59" s="495" t="str">
        <f>IF(OR('Cálc. Sist. Extinção Automática'!$A$5&lt;&gt;1,$B59=""),"",IF($Z59&lt;=2,27.3,IF($Z59&lt;=3,36,IF($Z59&lt;=5,41.9,IF($Z59&lt;=10,53.1,IF($Z59&lt;=30,68.9,IF($Z59&lt;=60,80.9,IF($Z59&lt;=100,105.3,129.7))))))))</f>
        <v/>
      </c>
      <c r="AE59" s="496" t="str">
        <f>IF(OR(AND('Cálc. Sist. Extinção Automática'!$A$5&lt;&gt;2,'Cálc. Sist. Extinção Automática'!$A$5&lt;&gt;3,'Cálc. Sist. Extinção Automática'!$A$5&lt;&gt;4),$B59=""),"",IF($Z59&lt;=2,27.3,IF($Z59&lt;=3,36,IF($Z59&lt;=5,41.9,IF($Z59&lt;=10,53.1,IF($Z59&lt;=20,68.9,IF($Z59&lt;=40,80.9,IF($Z59&lt;=100,105.3,129.7))))))))</f>
        <v/>
      </c>
      <c r="AF59" s="496" t="str">
        <f>IF(OR(AND('Cálc. Sist. Extinção Automática'!$A$5&lt;&gt;5,'Cálc. Sist. Extinção Automática'!$A$5&lt;&gt;6),$B59=""),"",IF($Z59&lt;=1,27.3,IF($Z59&lt;=2,36,IF($Z59&lt;=5,41.9,IF($Z59&lt;=8,53.1,IF($Z59&lt;=15,68.9,IF($Z59&lt;=27,80.9,IF($Z59&lt;=55,105.3,129.7))))))))</f>
        <v/>
      </c>
      <c r="AG59" s="523" t="str">
        <f>IF(OR(J59="",L59=""),"",(66.7*J59/'Cálc. Sist. Extinção Automática'!$B$17)/(PI()*W59^2))</f>
        <v/>
      </c>
      <c r="AK59" s="1061" t="str">
        <f>IF(I59="","",'Curvas da Instalação'!$D$22)</f>
        <v/>
      </c>
      <c r="AN59" s="1086" t="str">
        <f>IF(AK59="","",(66.7*AK59/'Cálc. Sist. Extinção Automática'!$B$17)/(PI()*L59^2))</f>
        <v/>
      </c>
      <c r="AO59" s="1089"/>
      <c r="AP59" s="136" t="str">
        <f>IF(AK59="","",IF('Cálc. Sist. Extinção Automática'!$M$15="",'Cálc. Sist. Extinção Automática'!$B$18*'Cálc. Sist. Extinção Automática'!$AU$19*I59*61.7*100000*((AK59/'Cálc. Sist. Extinção Automática'!$B$17)^1.85/('Cálc. Sist. Extinção Automática'!$P$16^1.85*L59^4.87)),'Cálc. Sist. Extinção Automática'!$B$18*'Cálc. Sist. Extinção Automática'!$AU$19*I59*((4*'Cálc. Sist. Extinção Automática'!$P$16*((AN59^7)/(L59/1000))^(1/4))/(L59/1000))))</f>
        <v/>
      </c>
      <c r="AQ59" s="136" t="str">
        <f t="shared" ref="AQ59:AQ67" si="6">IF(AK59="","",N59)</f>
        <v/>
      </c>
      <c r="AR59" s="136" t="str">
        <f t="shared" ref="AR59:AR67" si="7">IF(AND(AP59="",AQ59=""),"",IF(AQ59="",AP59,(AP59+AQ59)))</f>
        <v/>
      </c>
    </row>
    <row r="60" spans="1:44" ht="13.3" thickTop="1" thickBot="1" x14ac:dyDescent="0.35">
      <c r="A60" s="925"/>
      <c r="B60" s="1093" t="str">
        <f t="shared" ref="B60:B67" si="8">IF(OR(B59="",F60=""),"",B59+1)</f>
        <v/>
      </c>
      <c r="C60" s="843"/>
      <c r="D60" s="844"/>
      <c r="E60" s="845"/>
      <c r="F60" s="841"/>
      <c r="G60" s="842"/>
      <c r="H60" s="1132"/>
      <c r="I60" s="1270" t="str">
        <f>IF(OR($C$58="",F60=""),"",IF(H60="",F60*(1+'Cálc. Sist. Extinção Automática'!$P$14),F60+H60))</f>
        <v/>
      </c>
      <c r="J60" s="1276" t="str">
        <f>IF(OR($C$58="",F60=""),"",MAX('Cálc. Sist. Extinção Automática'!$R$25:$R$49))</f>
        <v/>
      </c>
      <c r="K60" s="1133"/>
      <c r="L60" s="849" t="str">
        <f t="shared" si="3"/>
        <v/>
      </c>
      <c r="M60" s="1272" t="str">
        <f>IF(OR('Cálc. Sist. Extinção Automática'!$P$16="",J60="",L60="",$C$58=""),"",IF('Cálc. Sist. Extinção Automática'!$M$15="",'Cálc. Sist. Extinção Automática'!$B$18*'Cálc. Sist. Extinção Automática'!$AU$19*I60*61.7*100000*((J60/'Cálc. Sist. Extinção Automática'!$B$17)^1.85/('Cálc. Sist. Extinção Automática'!$P$16^1.85*L60^4.87)),'Cálc. Sist. Extinção Automática'!$B$18*'Cálc. Sist. Extinção Automática'!$AU$19*I60*((4*'Cálc. Sist. Extinção Automática'!$P$16*((AG60^7)/(L60/1000))^(1/4))/(L60/1000))))</f>
        <v/>
      </c>
      <c r="N60" s="1272" t="str">
        <f>IF(OR($C$58="",G60="",G60=0),"",G60*'Cálc. Sist. Extinção Automática'!$AU$19*'Cálc. Sist. Extinção Automática'!$B$18)</f>
        <v/>
      </c>
      <c r="O60" s="1272" t="str">
        <f t="shared" si="4"/>
        <v/>
      </c>
      <c r="P60" s="925"/>
      <c r="Q60" s="925"/>
      <c r="R60" s="925"/>
      <c r="S60" s="925"/>
      <c r="T60" s="925"/>
      <c r="U60" s="925"/>
      <c r="V60" s="925"/>
      <c r="W60" s="849" t="str">
        <f t="shared" si="5"/>
        <v/>
      </c>
      <c r="X60" s="849" t="str">
        <f>IF(K60="","",IF($K60&lt;='Quadro 1'!$G$10,'Quadro 1'!$G$10,IF($K60&lt;='Quadro 1'!$G$11,'Quadro 1'!$G$11,IF($K60&lt;='Quadro 1'!$G$12,'Quadro 1'!$G$12,IF($K60&lt;='Quadro 1'!$G$13,'Quadro 1'!$G$13,IF($K60&lt;='Quadro 1'!$G$14,'Quadro 1'!$G$14,IF($K60&lt;='Quadro 1'!$G$15,'Quadro 1'!$G$15,IF($K60&lt;='Quadro 1'!$G$16,'Quadro 1'!$G$16,IF($K60&lt;='Quadro 1'!$G$17,'Quadro 1'!$G$17,IF($K60&lt;='Quadro 1'!$G$18,'Quadro 1'!$G$18,IF($K60&lt;='Quadro 1'!$G$19,'Quadro 1'!$G$19,IF($K60&lt;='Quadro 1'!$G$20,'Quadro 1'!$G$20,IF($K60&lt;='Quadro 1'!$G$21,'Quadro 1'!$G$21,IF($K60&lt;='Quadro 1'!$G$22,'Quadro 1'!$G$22,IF($K60&lt;='Quadro 1'!$G$23,'Quadro 1'!$G$23,'Quadro 1'!$G$23)))))))))))))))</f>
        <v/>
      </c>
      <c r="Y60" s="849" t="str">
        <f>IF(C60="","",IF(AND('Cálc. Sist. Extinção Automática'!$A$5&gt;=1,'Cálc. Sist. Extinção Automática'!$A$5&lt;=7,MAX($AD60:$AF60)=0),"",IF(AND('Cálc. Sist. Extinção Automática'!$A$5&gt;=1,'Cálc. Sist. Extinção Automática'!$A$5&lt;=7),MAX($AD60:$AF60),IF(AND('Cálc. Sist. Extinção Automática'!$A$5&gt;=11,'Cálc. Sist. Extinção Automática'!$A$5&lt;=18),MAX($AA60:$AC60),IF('Cálc. Sist. Extinção Automática'!$A$5=8,$AA60,IF('Cálc. Sist. Extinção Automática'!$A$5=9,$AB60,IF('Cálc. Sist. Extinção Automática'!$A$5=10,$AC60,"")))))))</f>
        <v/>
      </c>
      <c r="Z60" s="257">
        <f t="shared" si="0"/>
        <v>0</v>
      </c>
      <c r="AA60" s="496">
        <f t="shared" si="1"/>
        <v>27.3</v>
      </c>
      <c r="AB60" s="496">
        <f t="shared" si="1"/>
        <v>27.3</v>
      </c>
      <c r="AC60" s="496">
        <f t="shared" si="2"/>
        <v>36</v>
      </c>
      <c r="AD60" s="495" t="str">
        <f>IF(OR('Cálc. Sist. Extinção Automática'!$A$5&lt;&gt;1,$B60=""),"",IF($Z60&lt;=2,27.3,IF($Z60&lt;=3,36,IF($Z60&lt;=5,41.9,IF($Z60&lt;=10,53.1,IF($Z60&lt;=30,68.9,IF($Z60&lt;=60,80.9,IF($Z60&lt;=100,105.3,129.7))))))))</f>
        <v/>
      </c>
      <c r="AE60" s="496" t="str">
        <f>IF(OR(AND('Cálc. Sist. Extinção Automática'!$A$5&lt;&gt;2,'Cálc. Sist. Extinção Automática'!$A$5&lt;&gt;3,'Cálc. Sist. Extinção Automática'!$A$5&lt;&gt;4),$B60=""),"",IF($Z60&lt;=2,27.3,IF($Z60&lt;=3,36,IF($Z60&lt;=5,41.9,IF($Z60&lt;=10,53.1,IF($Z60&lt;=20,68.9,IF($Z60&lt;=40,80.9,IF($Z60&lt;=100,105.3,129.7))))))))</f>
        <v/>
      </c>
      <c r="AF60" s="496" t="str">
        <f>IF(OR(AND('Cálc. Sist. Extinção Automática'!$A$5&lt;&gt;5,'Cálc. Sist. Extinção Automática'!$A$5&lt;&gt;6),$B60=""),"",IF($Z60&lt;=1,27.3,IF($Z60&lt;=2,36,IF($Z60&lt;=5,41.9,IF($Z60&lt;=8,53.1,IF($Z60&lt;=15,68.9,IF($Z60&lt;=27,80.9,IF($Z60&lt;=55,105.3,129.7))))))))</f>
        <v/>
      </c>
      <c r="AG60" s="523" t="str">
        <f>IF(OR(J60="",L60=""),"",(66.7*J60/'Cálc. Sist. Extinção Automática'!$B$17)/(PI()*W60^2))</f>
        <v/>
      </c>
      <c r="AK60" s="1061" t="str">
        <f>IF(I60="","",'Curvas da Instalação'!$D$22)</f>
        <v/>
      </c>
      <c r="AN60" s="1086" t="str">
        <f>IF(AK60="","",(66.7*AK60/'Cálc. Sist. Extinção Automática'!$B$17)/(PI()*L60^2))</f>
        <v/>
      </c>
      <c r="AO60" s="1089"/>
      <c r="AP60" s="136" t="str">
        <f>IF(AK60="","",IF('Cálc. Sist. Extinção Automática'!$M$15="",'Cálc. Sist. Extinção Automática'!$B$18*'Cálc. Sist. Extinção Automática'!$AU$19*I60*61.7*100000*((AK60/'Cálc. Sist. Extinção Automática'!$B$17)^1.85/('Cálc. Sist. Extinção Automática'!$P$16^1.85*L60^4.87)),'Cálc. Sist. Extinção Automática'!$B$18*'Cálc. Sist. Extinção Automática'!$AU$19*I60*((4*'Cálc. Sist. Extinção Automática'!$P$16*((AN60^7)/(L60/1000))^(1/4))/(L60/1000))))</f>
        <v/>
      </c>
      <c r="AQ60" s="136" t="str">
        <f t="shared" si="6"/>
        <v/>
      </c>
      <c r="AR60" s="136" t="str">
        <f t="shared" si="7"/>
        <v/>
      </c>
    </row>
    <row r="61" spans="1:44" ht="13.3" thickTop="1" thickBot="1" x14ac:dyDescent="0.35">
      <c r="A61" s="925"/>
      <c r="B61" s="1093" t="str">
        <f t="shared" si="8"/>
        <v/>
      </c>
      <c r="C61" s="843"/>
      <c r="D61" s="844"/>
      <c r="E61" s="845"/>
      <c r="F61" s="841"/>
      <c r="G61" s="842"/>
      <c r="H61" s="1132"/>
      <c r="I61" s="1270" t="str">
        <f>IF(OR($C$58="",F61=""),"",IF(H61="",F61*(1+'Cálc. Sist. Extinção Automática'!$P$14),F61+H61))</f>
        <v/>
      </c>
      <c r="J61" s="1276" t="str">
        <f>IF(OR($C$58="",F61=""),"",MAX('Cálc. Sist. Extinção Automática'!$R$25:$R$49))</f>
        <v/>
      </c>
      <c r="K61" s="1133"/>
      <c r="L61" s="849" t="str">
        <f t="shared" si="3"/>
        <v/>
      </c>
      <c r="M61" s="1272" t="str">
        <f>IF(OR('Cálc. Sist. Extinção Automática'!$P$16="",J61="",L61="",$C$58=""),"",IF('Cálc. Sist. Extinção Automática'!$M$15="",'Cálc. Sist. Extinção Automática'!$B$18*'Cálc. Sist. Extinção Automática'!$AU$19*I61*61.7*100000*((J61/'Cálc. Sist. Extinção Automática'!$B$17)^1.85/('Cálc. Sist. Extinção Automática'!$P$16^1.85*L61^4.87)),'Cálc. Sist. Extinção Automática'!$B$18*'Cálc. Sist. Extinção Automática'!$AU$19*I61*((4*'Cálc. Sist. Extinção Automática'!$P$16*((AG61^7)/(L61/1000))^(1/4))/(L61/1000))))</f>
        <v/>
      </c>
      <c r="N61" s="1272" t="str">
        <f>IF(OR($C$58="",G61="",G61=0),"",G61*'Cálc. Sist. Extinção Automática'!$AU$19*'Cálc. Sist. Extinção Automática'!$B$18)</f>
        <v/>
      </c>
      <c r="O61" s="1272" t="str">
        <f t="shared" si="4"/>
        <v/>
      </c>
      <c r="P61" s="925"/>
      <c r="Q61" s="925"/>
      <c r="R61" s="925"/>
      <c r="S61" s="925"/>
      <c r="T61" s="925"/>
      <c r="U61" s="925"/>
      <c r="V61" s="925"/>
      <c r="W61" s="849" t="str">
        <f t="shared" si="5"/>
        <v/>
      </c>
      <c r="X61" s="849" t="str">
        <f>IF(K61="","",IF($K61&lt;='Quadro 1'!$G$10,'Quadro 1'!$G$10,IF($K61&lt;='Quadro 1'!$G$11,'Quadro 1'!$G$11,IF($K61&lt;='Quadro 1'!$G$12,'Quadro 1'!$G$12,IF($K61&lt;='Quadro 1'!$G$13,'Quadro 1'!$G$13,IF($K61&lt;='Quadro 1'!$G$14,'Quadro 1'!$G$14,IF($K61&lt;='Quadro 1'!$G$15,'Quadro 1'!$G$15,IF($K61&lt;='Quadro 1'!$G$16,'Quadro 1'!$G$16,IF($K61&lt;='Quadro 1'!$G$17,'Quadro 1'!$G$17,IF($K61&lt;='Quadro 1'!$G$18,'Quadro 1'!$G$18,IF($K61&lt;='Quadro 1'!$G$19,'Quadro 1'!$G$19,IF($K61&lt;='Quadro 1'!$G$20,'Quadro 1'!$G$20,IF($K61&lt;='Quadro 1'!$G$21,'Quadro 1'!$G$21,IF($K61&lt;='Quadro 1'!$G$22,'Quadro 1'!$G$22,IF($K61&lt;='Quadro 1'!$G$23,'Quadro 1'!$G$23,'Quadro 1'!$G$23)))))))))))))))</f>
        <v/>
      </c>
      <c r="Y61" s="849" t="str">
        <f>IF(C61="","",IF(AND('Cálc. Sist. Extinção Automática'!$A$5&gt;=1,'Cálc. Sist. Extinção Automática'!$A$5&lt;=7,MAX($AD61:$AF61)=0),"",IF(AND('Cálc. Sist. Extinção Automática'!$A$5&gt;=1,'Cálc. Sist. Extinção Automática'!$A$5&lt;=7),MAX($AD61:$AF61),IF(AND('Cálc. Sist. Extinção Automática'!$A$5&gt;=11,'Cálc. Sist. Extinção Automática'!$A$5&lt;=18),MAX($AA61:$AC61),IF('Cálc. Sist. Extinção Automática'!$A$5=8,$AA61,IF('Cálc. Sist. Extinção Automática'!$A$5=9,$AB61,IF('Cálc. Sist. Extinção Automática'!$A$5=10,$AC61,"")))))))</f>
        <v/>
      </c>
      <c r="Z61" s="257">
        <f t="shared" si="0"/>
        <v>0</v>
      </c>
      <c r="AA61" s="496">
        <f t="shared" si="1"/>
        <v>27.3</v>
      </c>
      <c r="AB61" s="496">
        <f t="shared" si="1"/>
        <v>27.3</v>
      </c>
      <c r="AC61" s="496">
        <f t="shared" si="2"/>
        <v>36</v>
      </c>
      <c r="AD61" s="495" t="str">
        <f>IF(OR('Cálc. Sist. Extinção Automática'!$A$5&lt;&gt;1,$B61=""),"",IF($Z61&lt;=2,27.3,IF($Z61&lt;=3,36,IF($Z61&lt;=5,41.9,IF($Z61&lt;=10,53.1,IF($Z61&lt;=30,68.9,IF($Z61&lt;=60,80.9,IF($Z61&lt;=100,105.3,129.7))))))))</f>
        <v/>
      </c>
      <c r="AE61" s="496" t="str">
        <f>IF(OR(AND('Cálc. Sist. Extinção Automática'!$A$5&lt;&gt;2,'Cálc. Sist. Extinção Automática'!$A$5&lt;&gt;3,'Cálc. Sist. Extinção Automática'!$A$5&lt;&gt;4),$B61=""),"",IF($Z61&lt;=2,27.3,IF($Z61&lt;=3,36,IF($Z61&lt;=5,41.9,IF($Z61&lt;=10,53.1,IF($Z61&lt;=20,68.9,IF($Z61&lt;=40,80.9,IF($Z61&lt;=100,105.3,129.7))))))))</f>
        <v/>
      </c>
      <c r="AF61" s="496" t="str">
        <f>IF(OR(AND('Cálc. Sist. Extinção Automática'!$A$5&lt;&gt;5,'Cálc. Sist. Extinção Automática'!$A$5&lt;&gt;6),$B61=""),"",IF($Z61&lt;=1,27.3,IF($Z61&lt;=2,36,IF($Z61&lt;=5,41.9,IF($Z61&lt;=8,53.1,IF($Z61&lt;=15,68.9,IF($Z61&lt;=27,80.9,IF($Z61&lt;=55,105.3,129.7))))))))</f>
        <v/>
      </c>
      <c r="AG61" s="523" t="str">
        <f>IF(OR(J61="",L61=""),"",(66.7*J61/'Cálc. Sist. Extinção Automática'!$B$17)/(PI()*W61^2))</f>
        <v/>
      </c>
      <c r="AK61" s="1061" t="str">
        <f>IF(I61="","",'Curvas da Instalação'!$D$22)</f>
        <v/>
      </c>
      <c r="AN61" s="1086" t="str">
        <f>IF(AK61="","",(66.7*AK61/'Cálc. Sist. Extinção Automática'!$B$17)/(PI()*L61^2))</f>
        <v/>
      </c>
      <c r="AO61" s="1089"/>
      <c r="AP61" s="136" t="str">
        <f>IF(AK61="","",IF('Cálc. Sist. Extinção Automática'!$M$15="",'Cálc. Sist. Extinção Automática'!$B$18*'Cálc. Sist. Extinção Automática'!$AU$19*I61*61.7*100000*((AK61/'Cálc. Sist. Extinção Automática'!$B$17)^1.85/('Cálc. Sist. Extinção Automática'!$P$16^1.85*L61^4.87)),'Cálc. Sist. Extinção Automática'!$B$18*'Cálc. Sist. Extinção Automática'!$AU$19*I61*((4*'Cálc. Sist. Extinção Automática'!$P$16*((AN61^7)/(L61/1000))^(1/4))/(L61/1000))))</f>
        <v/>
      </c>
      <c r="AQ61" s="136" t="str">
        <f t="shared" si="6"/>
        <v/>
      </c>
      <c r="AR61" s="136" t="str">
        <f t="shared" si="7"/>
        <v/>
      </c>
    </row>
    <row r="62" spans="1:44" ht="13.3" thickTop="1" thickBot="1" x14ac:dyDescent="0.35">
      <c r="A62" s="925"/>
      <c r="B62" s="1093" t="str">
        <f t="shared" si="8"/>
        <v/>
      </c>
      <c r="C62" s="843"/>
      <c r="D62" s="844"/>
      <c r="E62" s="845"/>
      <c r="F62" s="841"/>
      <c r="G62" s="842"/>
      <c r="H62" s="1132"/>
      <c r="I62" s="1270" t="str">
        <f>IF(OR($C$58="",F62=""),"",IF(H62="",F62*(1+'Cálc. Sist. Extinção Automática'!$P$14),F62+H62))</f>
        <v/>
      </c>
      <c r="J62" s="1276" t="str">
        <f>IF(OR($C$58="",F62=""),"",MAX('Cálc. Sist. Extinção Automática'!$R$25:$R$49))</f>
        <v/>
      </c>
      <c r="K62" s="1133"/>
      <c r="L62" s="849" t="str">
        <f t="shared" si="3"/>
        <v/>
      </c>
      <c r="M62" s="1272" t="str">
        <f>IF(OR('Cálc. Sist. Extinção Automática'!$P$16="",J62="",L62="",$C$58=""),"",IF('Cálc. Sist. Extinção Automática'!$M$15="",'Cálc. Sist. Extinção Automática'!$B$18*'Cálc. Sist. Extinção Automática'!$AU$19*I62*61.7*100000*((J62/'Cálc. Sist. Extinção Automática'!$B$17)^1.85/('Cálc. Sist. Extinção Automática'!$P$16^1.85*L62^4.87)),'Cálc. Sist. Extinção Automática'!$B$18*'Cálc. Sist. Extinção Automática'!$AU$19*I62*((4*'Cálc. Sist. Extinção Automática'!$P$16*((AG62^7)/(L62/1000))^(1/4))/(L62/1000))))</f>
        <v/>
      </c>
      <c r="N62" s="1272" t="str">
        <f>IF(OR($C$58="",G62="",G62=0),"",G62*'Cálc. Sist. Extinção Automática'!$AU$19*'Cálc. Sist. Extinção Automática'!$B$18)</f>
        <v/>
      </c>
      <c r="O62" s="1272" t="str">
        <f t="shared" si="4"/>
        <v/>
      </c>
      <c r="P62" s="925"/>
      <c r="Q62" s="925"/>
      <c r="R62" s="925"/>
      <c r="S62" s="925"/>
      <c r="T62" s="925"/>
      <c r="U62" s="925"/>
      <c r="V62" s="925"/>
      <c r="W62" s="849" t="str">
        <f t="shared" si="5"/>
        <v/>
      </c>
      <c r="X62" s="849" t="str">
        <f>IF(K62="","",IF($K62&lt;='Quadro 1'!$G$10,'Quadro 1'!$G$10,IF($K62&lt;='Quadro 1'!$G$11,'Quadro 1'!$G$11,IF($K62&lt;='Quadro 1'!$G$12,'Quadro 1'!$G$12,IF($K62&lt;='Quadro 1'!$G$13,'Quadro 1'!$G$13,IF($K62&lt;='Quadro 1'!$G$14,'Quadro 1'!$G$14,IF($K62&lt;='Quadro 1'!$G$15,'Quadro 1'!$G$15,IF($K62&lt;='Quadro 1'!$G$16,'Quadro 1'!$G$16,IF($K62&lt;='Quadro 1'!$G$17,'Quadro 1'!$G$17,IF($K62&lt;='Quadro 1'!$G$18,'Quadro 1'!$G$18,IF($K62&lt;='Quadro 1'!$G$19,'Quadro 1'!$G$19,IF($K62&lt;='Quadro 1'!$G$20,'Quadro 1'!$G$20,IF($K62&lt;='Quadro 1'!$G$21,'Quadro 1'!$G$21,IF($K62&lt;='Quadro 1'!$G$22,'Quadro 1'!$G$22,IF($K62&lt;='Quadro 1'!$G$23,'Quadro 1'!$G$23,'Quadro 1'!$G$23)))))))))))))))</f>
        <v/>
      </c>
      <c r="Y62" s="849" t="str">
        <f>IF(C62="","",IF(AND('Cálc. Sist. Extinção Automática'!$A$5&gt;=1,'Cálc. Sist. Extinção Automática'!$A$5&lt;=7,MAX($AD62:$AF62)=0),"",IF(AND('Cálc. Sist. Extinção Automática'!$A$5&gt;=1,'Cálc. Sist. Extinção Automática'!$A$5&lt;=7),MAX($AD62:$AF62),IF(AND('Cálc. Sist. Extinção Automática'!$A$5&gt;=11,'Cálc. Sist. Extinção Automática'!$A$5&lt;=18),MAX($AA62:$AC62),IF('Cálc. Sist. Extinção Automática'!$A$5=8,$AA62,IF('Cálc. Sist. Extinção Automática'!$A$5=9,$AB62,IF('Cálc. Sist. Extinção Automática'!$A$5=10,$AC62,"")))))))</f>
        <v/>
      </c>
      <c r="Z62" s="257">
        <f t="shared" si="0"/>
        <v>0</v>
      </c>
      <c r="AA62" s="496">
        <f t="shared" si="1"/>
        <v>27.3</v>
      </c>
      <c r="AB62" s="496">
        <f t="shared" si="1"/>
        <v>27.3</v>
      </c>
      <c r="AC62" s="496">
        <f t="shared" si="2"/>
        <v>36</v>
      </c>
      <c r="AD62" s="495" t="str">
        <f>IF(OR('Cálc. Sist. Extinção Automática'!$A$5&lt;&gt;1,$B62=""),"",IF($Z62&lt;=2,27.3,IF($Z62&lt;=3,36,IF($Z62&lt;=5,41.9,IF($Z62&lt;=10,53.1,IF($Z62&lt;=30,68.9,IF($Z62&lt;=60,80.9,IF($Z62&lt;=100,105.3,129.7))))))))</f>
        <v/>
      </c>
      <c r="AE62" s="496" t="str">
        <f>IF(OR(AND('Cálc. Sist. Extinção Automática'!$A$5&lt;&gt;2,'Cálc. Sist. Extinção Automática'!$A$5&lt;&gt;3,'Cálc. Sist. Extinção Automática'!$A$5&lt;&gt;4),$B62=""),"",IF($Z62&lt;=2,27.3,IF($Z62&lt;=3,36,IF($Z62&lt;=5,41.9,IF($Z62&lt;=10,53.1,IF($Z62&lt;=20,68.9,IF($Z62&lt;=40,80.9,IF($Z62&lt;=100,105.3,129.7))))))))</f>
        <v/>
      </c>
      <c r="AF62" s="496" t="str">
        <f>IF(OR(AND('Cálc. Sist. Extinção Automática'!$A$5&lt;&gt;5,'Cálc. Sist. Extinção Automática'!$A$5&lt;&gt;6),$B62=""),"",IF($Z62&lt;=1,27.3,IF($Z62&lt;=2,36,IF($Z62&lt;=5,41.9,IF($Z62&lt;=8,53.1,IF($Z62&lt;=15,68.9,IF($Z62&lt;=27,80.9,IF($Z62&lt;=55,105.3,129.7))))))))</f>
        <v/>
      </c>
      <c r="AG62" s="523" t="str">
        <f>IF(OR(J62="",L62=""),"",(66.7*J62/'Cálc. Sist. Extinção Automática'!$B$17)/(PI()*W62^2))</f>
        <v/>
      </c>
      <c r="AK62" s="1061" t="str">
        <f>IF(I62="","",'Curvas da Instalação'!$D$22)</f>
        <v/>
      </c>
      <c r="AN62" s="1086" t="str">
        <f>IF(AK62="","",(66.7*AK62/'Cálc. Sist. Extinção Automática'!$B$17)/(PI()*L62^2))</f>
        <v/>
      </c>
      <c r="AO62" s="1089"/>
      <c r="AP62" s="136" t="str">
        <f>IF(AK62="","",IF('Cálc. Sist. Extinção Automática'!$M$15="",'Cálc. Sist. Extinção Automática'!$B$18*'Cálc. Sist. Extinção Automática'!$AU$19*I62*61.7*100000*((AK62/'Cálc. Sist. Extinção Automática'!$B$17)^1.85/('Cálc. Sist. Extinção Automática'!$P$16^1.85*L62^4.87)),'Cálc. Sist. Extinção Automática'!$B$18*'Cálc. Sist. Extinção Automática'!$AU$19*I62*((4*'Cálc. Sist. Extinção Automática'!$P$16*((AN62^7)/(L62/1000))^(1/4))/(L62/1000))))</f>
        <v/>
      </c>
      <c r="AQ62" s="136" t="str">
        <f t="shared" si="6"/>
        <v/>
      </c>
      <c r="AR62" s="136" t="str">
        <f t="shared" si="7"/>
        <v/>
      </c>
    </row>
    <row r="63" spans="1:44" ht="13.3" thickTop="1" thickBot="1" x14ac:dyDescent="0.35">
      <c r="A63" s="925"/>
      <c r="B63" s="1093" t="str">
        <f t="shared" si="8"/>
        <v/>
      </c>
      <c r="C63" s="843"/>
      <c r="D63" s="844"/>
      <c r="E63" s="845"/>
      <c r="F63" s="841"/>
      <c r="G63" s="842"/>
      <c r="H63" s="1132"/>
      <c r="I63" s="1270" t="str">
        <f>IF(OR($C$58="",F63=""),"",IF(H63="",F63*(1+'Cálc. Sist. Extinção Automática'!$P$14),F63+H63))</f>
        <v/>
      </c>
      <c r="J63" s="1276" t="str">
        <f>IF(OR($C$58="",F63=""),"",MAX('Cálc. Sist. Extinção Automática'!$R$25:$R$49))</f>
        <v/>
      </c>
      <c r="K63" s="1133"/>
      <c r="L63" s="849" t="str">
        <f t="shared" si="3"/>
        <v/>
      </c>
      <c r="M63" s="1272" t="str">
        <f>IF(OR('Cálc. Sist. Extinção Automática'!$P$16="",J63="",L63="",$C$58=""),"",IF('Cálc. Sist. Extinção Automática'!$M$15="",'Cálc. Sist. Extinção Automática'!$B$18*'Cálc. Sist. Extinção Automática'!$AU$19*I63*61.7*100000*((J63/'Cálc. Sist. Extinção Automática'!$B$17)^1.85/('Cálc. Sist. Extinção Automática'!$P$16^1.85*L63^4.87)),'Cálc. Sist. Extinção Automática'!$B$18*'Cálc. Sist. Extinção Automática'!$AU$19*I63*((4*'Cálc. Sist. Extinção Automática'!$P$16*((AG63^7)/(L63/1000))^(1/4))/(L63/1000))))</f>
        <v/>
      </c>
      <c r="N63" s="1272" t="str">
        <f>IF(OR($C$58="",G63="",G63=0),"",G63*'Cálc. Sist. Extinção Automática'!$AU$19*'Cálc. Sist. Extinção Automática'!$B$18)</f>
        <v/>
      </c>
      <c r="O63" s="1272" t="str">
        <f t="shared" si="4"/>
        <v/>
      </c>
      <c r="P63" s="925"/>
      <c r="Q63" s="925"/>
      <c r="R63" s="925"/>
      <c r="S63" s="925"/>
      <c r="T63" s="925"/>
      <c r="U63" s="925"/>
      <c r="V63" s="925"/>
      <c r="W63" s="849" t="str">
        <f t="shared" si="5"/>
        <v/>
      </c>
      <c r="X63" s="849" t="str">
        <f>IF(K63="","",IF($K63&lt;='Quadro 1'!$G$10,'Quadro 1'!$G$10,IF($K63&lt;='Quadro 1'!$G$11,'Quadro 1'!$G$11,IF($K63&lt;='Quadro 1'!$G$12,'Quadro 1'!$G$12,IF($K63&lt;='Quadro 1'!$G$13,'Quadro 1'!$G$13,IF($K63&lt;='Quadro 1'!$G$14,'Quadro 1'!$G$14,IF($K63&lt;='Quadro 1'!$G$15,'Quadro 1'!$G$15,IF($K63&lt;='Quadro 1'!$G$16,'Quadro 1'!$G$16,IF($K63&lt;='Quadro 1'!$G$17,'Quadro 1'!$G$17,IF($K63&lt;='Quadro 1'!$G$18,'Quadro 1'!$G$18,IF($K63&lt;='Quadro 1'!$G$19,'Quadro 1'!$G$19,IF($K63&lt;='Quadro 1'!$G$20,'Quadro 1'!$G$20,IF($K63&lt;='Quadro 1'!$G$21,'Quadro 1'!$G$21,IF($K63&lt;='Quadro 1'!$G$22,'Quadro 1'!$G$22,IF($K63&lt;='Quadro 1'!$G$23,'Quadro 1'!$G$23,'Quadro 1'!$G$23)))))))))))))))</f>
        <v/>
      </c>
      <c r="Y63" s="849" t="str">
        <f>IF(C63="","",IF(AND('Cálc. Sist. Extinção Automática'!$A$5&gt;=1,'Cálc. Sist. Extinção Automática'!$A$5&lt;=7,MAX($AD63:$AF63)=0),"",IF(AND('Cálc. Sist. Extinção Automática'!$A$5&gt;=1,'Cálc. Sist. Extinção Automática'!$A$5&lt;=7),MAX($AD63:$AF63),IF(AND('Cálc. Sist. Extinção Automática'!$A$5&gt;=11,'Cálc. Sist. Extinção Automática'!$A$5&lt;=18),MAX($AA63:$AC63),IF('Cálc. Sist. Extinção Automática'!$A$5=8,$AA63,IF('Cálc. Sist. Extinção Automática'!$A$5=9,$AB63,IF('Cálc. Sist. Extinção Automática'!$A$5=10,$AC63,"")))))))</f>
        <v/>
      </c>
      <c r="Z63" s="257">
        <f t="shared" si="0"/>
        <v>0</v>
      </c>
      <c r="AA63" s="496">
        <f t="shared" si="1"/>
        <v>27.3</v>
      </c>
      <c r="AB63" s="496">
        <f t="shared" si="1"/>
        <v>27.3</v>
      </c>
      <c r="AC63" s="496">
        <f t="shared" si="2"/>
        <v>36</v>
      </c>
      <c r="AD63" s="495" t="str">
        <f>IF(OR('Cálc. Sist. Extinção Automática'!$A$5&lt;&gt;1,$B63=""),"",IF($Z63&lt;=2,27.3,IF($Z63&lt;=3,36,IF($Z63&lt;=5,41.9,IF($Z63&lt;=10,53.1,IF($Z63&lt;=30,68.9,IF($Z63&lt;=60,80.9,IF($Z63&lt;=100,105.3,129.7))))))))</f>
        <v/>
      </c>
      <c r="AE63" s="496" t="str">
        <f>IF(OR(AND('Cálc. Sist. Extinção Automática'!$A$5&lt;&gt;2,'Cálc. Sist. Extinção Automática'!$A$5&lt;&gt;3,'Cálc. Sist. Extinção Automática'!$A$5&lt;&gt;4),$B63=""),"",IF($Z63&lt;=2,27.3,IF($Z63&lt;=3,36,IF($Z63&lt;=5,41.9,IF($Z63&lt;=10,53.1,IF($Z63&lt;=20,68.9,IF($Z63&lt;=40,80.9,IF($Z63&lt;=100,105.3,129.7))))))))</f>
        <v/>
      </c>
      <c r="AF63" s="496" t="str">
        <f>IF(OR(AND('Cálc. Sist. Extinção Automática'!$A$5&lt;&gt;5,'Cálc. Sist. Extinção Automática'!$A$5&lt;&gt;6),$B63=""),"",IF($Z63&lt;=1,27.3,IF($Z63&lt;=2,36,IF($Z63&lt;=5,41.9,IF($Z63&lt;=8,53.1,IF($Z63&lt;=15,68.9,IF($Z63&lt;=27,80.9,IF($Z63&lt;=55,105.3,129.7))))))))</f>
        <v/>
      </c>
      <c r="AG63" s="523" t="str">
        <f>IF(OR(J63="",L63=""),"",(66.7*J63/'Cálc. Sist. Extinção Automática'!$B$17)/(PI()*W63^2))</f>
        <v/>
      </c>
      <c r="AK63" s="1061" t="str">
        <f>IF(I63="","",'Curvas da Instalação'!$D$22)</f>
        <v/>
      </c>
      <c r="AN63" s="1086" t="str">
        <f>IF(AK63="","",(66.7*AK63/'Cálc. Sist. Extinção Automática'!$B$17)/(PI()*L63^2))</f>
        <v/>
      </c>
      <c r="AO63" s="1089"/>
      <c r="AP63" s="136" t="str">
        <f>IF(AK63="","",IF('Cálc. Sist. Extinção Automática'!$M$15="",'Cálc. Sist. Extinção Automática'!$B$18*'Cálc. Sist. Extinção Automática'!$AU$19*I63*61.7*100000*((AK63/'Cálc. Sist. Extinção Automática'!$B$17)^1.85/('Cálc. Sist. Extinção Automática'!$P$16^1.85*L63^4.87)),'Cálc. Sist. Extinção Automática'!$B$18*'Cálc. Sist. Extinção Automática'!$AU$19*I63*((4*'Cálc. Sist. Extinção Automática'!$P$16*((AN63^7)/(L63/1000))^(1/4))/(L63/1000))))</f>
        <v/>
      </c>
      <c r="AQ63" s="136" t="str">
        <f t="shared" si="6"/>
        <v/>
      </c>
      <c r="AR63" s="136" t="str">
        <f t="shared" si="7"/>
        <v/>
      </c>
    </row>
    <row r="64" spans="1:44" ht="13.3" thickTop="1" thickBot="1" x14ac:dyDescent="0.35">
      <c r="A64" s="925"/>
      <c r="B64" s="1093" t="str">
        <f t="shared" si="8"/>
        <v/>
      </c>
      <c r="C64" s="843"/>
      <c r="D64" s="844"/>
      <c r="E64" s="845"/>
      <c r="F64" s="841"/>
      <c r="G64" s="842"/>
      <c r="H64" s="1132"/>
      <c r="I64" s="1270" t="str">
        <f>IF(OR($C$58="",F64=""),"",IF(H64="",F64*(1+'Cálc. Sist. Extinção Automática'!$P$14),F64+H64))</f>
        <v/>
      </c>
      <c r="J64" s="1276" t="str">
        <f>IF(OR($C$58="",F64=""),"",MAX('Cálc. Sist. Extinção Automática'!$R$25:$R$49))</f>
        <v/>
      </c>
      <c r="K64" s="1133"/>
      <c r="L64" s="849" t="str">
        <f t="shared" si="3"/>
        <v/>
      </c>
      <c r="M64" s="1272" t="str">
        <f>IF(OR('Cálc. Sist. Extinção Automática'!$P$16="",J64="",L64="",$C$58=""),"",IF('Cálc. Sist. Extinção Automática'!$M$15="",'Cálc. Sist. Extinção Automática'!$B$18*'Cálc. Sist. Extinção Automática'!$AU$19*I64*61.7*100000*((J64/'Cálc. Sist. Extinção Automática'!$B$17)^1.85/('Cálc. Sist. Extinção Automática'!$P$16^1.85*L64^4.87)),'Cálc. Sist. Extinção Automática'!$B$18*'Cálc. Sist. Extinção Automática'!$AU$19*I64*((4*'Cálc. Sist. Extinção Automática'!$P$16*((AG64^7)/(L64/1000))^(1/4))/(L64/1000))))</f>
        <v/>
      </c>
      <c r="N64" s="1272" t="str">
        <f>IF(OR($C$58="",G64="",G64=0),"",G64*'Cálc. Sist. Extinção Automática'!$AU$19*'Cálc. Sist. Extinção Automática'!$B$18)</f>
        <v/>
      </c>
      <c r="O64" s="1272" t="str">
        <f t="shared" si="4"/>
        <v/>
      </c>
      <c r="P64" s="925"/>
      <c r="Q64" s="925"/>
      <c r="R64" s="925"/>
      <c r="S64" s="925"/>
      <c r="T64" s="925"/>
      <c r="U64" s="925"/>
      <c r="V64" s="925"/>
      <c r="W64" s="849" t="str">
        <f t="shared" si="5"/>
        <v/>
      </c>
      <c r="X64" s="849" t="str">
        <f>IF(K64="","",IF($K64&lt;='Quadro 1'!$G$10,'Quadro 1'!$G$10,IF($K64&lt;='Quadro 1'!$G$11,'Quadro 1'!$G$11,IF($K64&lt;='Quadro 1'!$G$12,'Quadro 1'!$G$12,IF($K64&lt;='Quadro 1'!$G$13,'Quadro 1'!$G$13,IF($K64&lt;='Quadro 1'!$G$14,'Quadro 1'!$G$14,IF($K64&lt;='Quadro 1'!$G$15,'Quadro 1'!$G$15,IF($K64&lt;='Quadro 1'!$G$16,'Quadro 1'!$G$16,IF($K64&lt;='Quadro 1'!$G$17,'Quadro 1'!$G$17,IF($K64&lt;='Quadro 1'!$G$18,'Quadro 1'!$G$18,IF($K64&lt;='Quadro 1'!$G$19,'Quadro 1'!$G$19,IF($K64&lt;='Quadro 1'!$G$20,'Quadro 1'!$G$20,IF($K64&lt;='Quadro 1'!$G$21,'Quadro 1'!$G$21,IF($K64&lt;='Quadro 1'!$G$22,'Quadro 1'!$G$22,IF($K64&lt;='Quadro 1'!$G$23,'Quadro 1'!$G$23,'Quadro 1'!$G$23)))))))))))))))</f>
        <v/>
      </c>
      <c r="Y64" s="849" t="str">
        <f>IF(C64="","",IF(AND('Cálc. Sist. Extinção Automática'!$A$5&gt;=1,'Cálc. Sist. Extinção Automática'!$A$5&lt;=7,MAX($AD64:$AF64)=0),"",IF(AND('Cálc. Sist. Extinção Automática'!$A$5&gt;=1,'Cálc. Sist. Extinção Automática'!$A$5&lt;=7),MAX($AD64:$AF64),IF(AND('Cálc. Sist. Extinção Automática'!$A$5&gt;=11,'Cálc. Sist. Extinção Automática'!$A$5&lt;=18),MAX($AA64:$AC64),IF('Cálc. Sist. Extinção Automática'!$A$5=8,$AA64,IF('Cálc. Sist. Extinção Automática'!$A$5=9,$AB64,IF('Cálc. Sist. Extinção Automática'!$A$5=10,$AC64,"")))))))</f>
        <v/>
      </c>
      <c r="Z64" s="257">
        <f t="shared" si="0"/>
        <v>0</v>
      </c>
      <c r="AA64" s="496">
        <f t="shared" si="1"/>
        <v>27.3</v>
      </c>
      <c r="AB64" s="496">
        <f t="shared" si="1"/>
        <v>27.3</v>
      </c>
      <c r="AC64" s="496">
        <f t="shared" si="2"/>
        <v>36</v>
      </c>
      <c r="AD64" s="495" t="str">
        <f>IF(OR('Cálc. Sist. Extinção Automática'!$A$5&lt;&gt;1,$B64=""),"",IF($Z64&lt;=2,27.3,IF($Z64&lt;=3,36,IF($Z64&lt;=5,41.9,IF($Z64&lt;=10,53.1,IF($Z64&lt;=30,68.9,IF($Z64&lt;=60,80.9,IF($Z64&lt;=100,105.3,129.7))))))))</f>
        <v/>
      </c>
      <c r="AE64" s="496" t="str">
        <f>IF(OR(AND('Cálc. Sist. Extinção Automática'!$A$5&lt;&gt;2,'Cálc. Sist. Extinção Automática'!$A$5&lt;&gt;3,'Cálc. Sist. Extinção Automática'!$A$5&lt;&gt;4),$B64=""),"",IF($Z64&lt;=2,27.3,IF($Z64&lt;=3,36,IF($Z64&lt;=5,41.9,IF($Z64&lt;=10,53.1,IF($Z64&lt;=20,68.9,IF($Z64&lt;=40,80.9,IF($Z64&lt;=100,105.3,129.7))))))))</f>
        <v/>
      </c>
      <c r="AF64" s="496" t="str">
        <f>IF(OR(AND('Cálc. Sist. Extinção Automática'!$A$5&lt;&gt;5,'Cálc. Sist. Extinção Automática'!$A$5&lt;&gt;6),$B64=""),"",IF($Z64&lt;=1,27.3,IF($Z64&lt;=2,36,IF($Z64&lt;=5,41.9,IF($Z64&lt;=8,53.1,IF($Z64&lt;=15,68.9,IF($Z64&lt;=27,80.9,IF($Z64&lt;=55,105.3,129.7))))))))</f>
        <v/>
      </c>
      <c r="AG64" s="523" t="str">
        <f>IF(OR(J64="",L64=""),"",(66.7*J64/'Cálc. Sist. Extinção Automática'!$B$17)/(PI()*W64^2))</f>
        <v/>
      </c>
      <c r="AK64" s="1061" t="str">
        <f>IF(I64="","",'Curvas da Instalação'!$D$22)</f>
        <v/>
      </c>
      <c r="AN64" s="1086" t="str">
        <f>IF(AK64="","",(66.7*AK64/'Cálc. Sist. Extinção Automática'!$B$17)/(PI()*L64^2))</f>
        <v/>
      </c>
      <c r="AO64" s="1089"/>
      <c r="AP64" s="136" t="str">
        <f>IF(AK64="","",IF('Cálc. Sist. Extinção Automática'!$M$15="",'Cálc. Sist. Extinção Automática'!$B$18*'Cálc. Sist. Extinção Automática'!$AU$19*I64*61.7*100000*((AK64/'Cálc. Sist. Extinção Automática'!$B$17)^1.85/('Cálc. Sist. Extinção Automática'!$P$16^1.85*L64^4.87)),'Cálc. Sist. Extinção Automática'!$B$18*'Cálc. Sist. Extinção Automática'!$AU$19*I64*((4*'Cálc. Sist. Extinção Automática'!$P$16*((AN64^7)/(L64/1000))^(1/4))/(L64/1000))))</f>
        <v/>
      </c>
      <c r="AQ64" s="136" t="str">
        <f t="shared" si="6"/>
        <v/>
      </c>
      <c r="AR64" s="136" t="str">
        <f t="shared" si="7"/>
        <v/>
      </c>
    </row>
    <row r="65" spans="1:44" ht="13.3" thickTop="1" thickBot="1" x14ac:dyDescent="0.35">
      <c r="A65" s="925"/>
      <c r="B65" s="1093" t="str">
        <f t="shared" si="8"/>
        <v/>
      </c>
      <c r="C65" s="843"/>
      <c r="D65" s="844"/>
      <c r="E65" s="845"/>
      <c r="F65" s="841"/>
      <c r="G65" s="842"/>
      <c r="H65" s="1132"/>
      <c r="I65" s="1270" t="str">
        <f>IF(OR($C$58="",F65=""),"",IF(H65="",F65*(1+'Cálc. Sist. Extinção Automática'!$P$14),F65+H65))</f>
        <v/>
      </c>
      <c r="J65" s="1276" t="str">
        <f>IF(OR($C$58="",F65=""),"",MAX('Cálc. Sist. Extinção Automática'!$R$25:$R$49))</f>
        <v/>
      </c>
      <c r="K65" s="1133"/>
      <c r="L65" s="849" t="str">
        <f t="shared" si="3"/>
        <v/>
      </c>
      <c r="M65" s="1272" t="str">
        <f>IF(OR('Cálc. Sist. Extinção Automática'!$P$16="",J65="",L65="",$C$58=""),"",IF('Cálc. Sist. Extinção Automática'!$M$15="",'Cálc. Sist. Extinção Automática'!$B$18*'Cálc. Sist. Extinção Automática'!$AU$19*I65*61.7*100000*((J65/'Cálc. Sist. Extinção Automática'!$B$17)^1.85/('Cálc. Sist. Extinção Automática'!$P$16^1.85*L65^4.87)),'Cálc. Sist. Extinção Automática'!$B$18*'Cálc. Sist. Extinção Automática'!$AU$19*I65*((4*'Cálc. Sist. Extinção Automática'!$P$16*((AG65^7)/(L65/1000))^(1/4))/(L65/1000))))</f>
        <v/>
      </c>
      <c r="N65" s="1272" t="str">
        <f>IF(OR($C$58="",G65="",G65=0),"",G65*'Cálc. Sist. Extinção Automática'!$AU$19*'Cálc. Sist. Extinção Automática'!$B$18)</f>
        <v/>
      </c>
      <c r="O65" s="1272" t="str">
        <f t="shared" si="4"/>
        <v/>
      </c>
      <c r="P65" s="925"/>
      <c r="Q65" s="925"/>
      <c r="R65" s="925"/>
      <c r="S65" s="925"/>
      <c r="T65" s="925"/>
      <c r="U65" s="925"/>
      <c r="V65" s="925"/>
      <c r="W65" s="849" t="str">
        <f t="shared" si="5"/>
        <v/>
      </c>
      <c r="X65" s="849" t="str">
        <f>IF(K65="","",IF($K65&lt;='Quadro 1'!$G$10,'Quadro 1'!$G$10,IF($K65&lt;='Quadro 1'!$G$11,'Quadro 1'!$G$11,IF($K65&lt;='Quadro 1'!$G$12,'Quadro 1'!$G$12,IF($K65&lt;='Quadro 1'!$G$13,'Quadro 1'!$G$13,IF($K65&lt;='Quadro 1'!$G$14,'Quadro 1'!$G$14,IF($K65&lt;='Quadro 1'!$G$15,'Quadro 1'!$G$15,IF($K65&lt;='Quadro 1'!$G$16,'Quadro 1'!$G$16,IF($K65&lt;='Quadro 1'!$G$17,'Quadro 1'!$G$17,IF($K65&lt;='Quadro 1'!$G$18,'Quadro 1'!$G$18,IF($K65&lt;='Quadro 1'!$G$19,'Quadro 1'!$G$19,IF($K65&lt;='Quadro 1'!$G$20,'Quadro 1'!$G$20,IF($K65&lt;='Quadro 1'!$G$21,'Quadro 1'!$G$21,IF($K65&lt;='Quadro 1'!$G$22,'Quadro 1'!$G$22,IF($K65&lt;='Quadro 1'!$G$23,'Quadro 1'!$G$23,'Quadro 1'!$G$23)))))))))))))))</f>
        <v/>
      </c>
      <c r="Y65" s="849" t="str">
        <f>IF(C65="","",IF(AND('Cálc. Sist. Extinção Automática'!$A$5&gt;=1,'Cálc. Sist. Extinção Automática'!$A$5&lt;=7,MAX($AD65:$AF65)=0),"",IF(AND('Cálc. Sist. Extinção Automática'!$A$5&gt;=1,'Cálc. Sist. Extinção Automática'!$A$5&lt;=7),MAX($AD65:$AF65),IF(AND('Cálc. Sist. Extinção Automática'!$A$5&gt;=11,'Cálc. Sist. Extinção Automática'!$A$5&lt;=18),MAX($AA65:$AC65),IF('Cálc. Sist. Extinção Automática'!$A$5=8,$AA65,IF('Cálc. Sist. Extinção Automática'!$A$5=9,$AB65,IF('Cálc. Sist. Extinção Automática'!$A$5=10,$AC65,"")))))))</f>
        <v/>
      </c>
      <c r="Z65" s="257">
        <f t="shared" si="0"/>
        <v>0</v>
      </c>
      <c r="AA65" s="496">
        <f t="shared" si="1"/>
        <v>27.3</v>
      </c>
      <c r="AB65" s="496">
        <f t="shared" si="1"/>
        <v>27.3</v>
      </c>
      <c r="AC65" s="496">
        <f t="shared" si="2"/>
        <v>36</v>
      </c>
      <c r="AD65" s="495" t="str">
        <f>IF(OR('Cálc. Sist. Extinção Automática'!$A$5&lt;&gt;1,$B65=""),"",IF($Z65&lt;=2,27.3,IF($Z65&lt;=3,36,IF($Z65&lt;=5,41.9,IF($Z65&lt;=10,53.1,IF($Z65&lt;=30,68.9,IF($Z65&lt;=60,80.9,IF($Z65&lt;=100,105.3,129.7))))))))</f>
        <v/>
      </c>
      <c r="AE65" s="496" t="str">
        <f>IF(OR(AND('Cálc. Sist. Extinção Automática'!$A$5&lt;&gt;2,'Cálc. Sist. Extinção Automática'!$A$5&lt;&gt;3,'Cálc. Sist. Extinção Automática'!$A$5&lt;&gt;4),$B65=""),"",IF($Z65&lt;=2,27.3,IF($Z65&lt;=3,36,IF($Z65&lt;=5,41.9,IF($Z65&lt;=10,53.1,IF($Z65&lt;=20,68.9,IF($Z65&lt;=40,80.9,IF($Z65&lt;=100,105.3,129.7))))))))</f>
        <v/>
      </c>
      <c r="AF65" s="496" t="str">
        <f>IF(OR(AND('Cálc. Sist. Extinção Automática'!$A$5&lt;&gt;5,'Cálc. Sist. Extinção Automática'!$A$5&lt;&gt;6),$B65=""),"",IF($Z65&lt;=1,27.3,IF($Z65&lt;=2,36,IF($Z65&lt;=5,41.9,IF($Z65&lt;=8,53.1,IF($Z65&lt;=15,68.9,IF($Z65&lt;=27,80.9,IF($Z65&lt;=55,105.3,129.7))))))))</f>
        <v/>
      </c>
      <c r="AG65" s="523" t="str">
        <f>IF(OR(J65="",L65=""),"",(66.7*J65/'Cálc. Sist. Extinção Automática'!$B$17)/(PI()*W65^2))</f>
        <v/>
      </c>
      <c r="AK65" s="1061" t="str">
        <f>IF(I65="","",'Curvas da Instalação'!$D$22)</f>
        <v/>
      </c>
      <c r="AN65" s="1086" t="str">
        <f>IF(AK65="","",(66.7*AK65/'Cálc. Sist. Extinção Automática'!$B$17)/(PI()*L65^2))</f>
        <v/>
      </c>
      <c r="AO65" s="1089"/>
      <c r="AP65" s="136" t="str">
        <f>IF(AK65="","",IF('Cálc. Sist. Extinção Automática'!$M$15="",'Cálc. Sist. Extinção Automática'!$B$18*'Cálc. Sist. Extinção Automática'!$AU$19*I65*61.7*100000*((AK65/'Cálc. Sist. Extinção Automática'!$B$17)^1.85/('Cálc. Sist. Extinção Automática'!$P$16^1.85*L65^4.87)),'Cálc. Sist. Extinção Automática'!$B$18*'Cálc. Sist. Extinção Automática'!$AU$19*I65*((4*'Cálc. Sist. Extinção Automática'!$P$16*((AN65^7)/(L65/1000))^(1/4))/(L65/1000))))</f>
        <v/>
      </c>
      <c r="AQ65" s="136" t="str">
        <f t="shared" si="6"/>
        <v/>
      </c>
      <c r="AR65" s="136" t="str">
        <f t="shared" si="7"/>
        <v/>
      </c>
    </row>
    <row r="66" spans="1:44" ht="13.3" thickTop="1" thickBot="1" x14ac:dyDescent="0.35">
      <c r="A66" s="925"/>
      <c r="B66" s="1093" t="str">
        <f t="shared" si="8"/>
        <v/>
      </c>
      <c r="C66" s="843"/>
      <c r="D66" s="844"/>
      <c r="E66" s="845"/>
      <c r="F66" s="841"/>
      <c r="G66" s="842"/>
      <c r="H66" s="1132"/>
      <c r="I66" s="1270" t="str">
        <f>IF(OR($C$58="",F66=""),"",IF(H66="",F66*(1+'Cálc. Sist. Extinção Automática'!$P$14),F66+H66))</f>
        <v/>
      </c>
      <c r="J66" s="1276" t="str">
        <f>IF(OR($C$58="",F66=""),"",MAX('Cálc. Sist. Extinção Automática'!$R$25:$R$49))</f>
        <v/>
      </c>
      <c r="K66" s="1133"/>
      <c r="L66" s="849" t="str">
        <f t="shared" si="3"/>
        <v/>
      </c>
      <c r="M66" s="1272" t="str">
        <f>IF(OR('Cálc. Sist. Extinção Automática'!$P$16="",J66="",L66="",$C$58=""),"",IF('Cálc. Sist. Extinção Automática'!$M$15="",'Cálc. Sist. Extinção Automática'!$B$18*'Cálc. Sist. Extinção Automática'!$AU$19*I66*61.7*100000*((J66/'Cálc. Sist. Extinção Automática'!$B$17)^1.85/('Cálc. Sist. Extinção Automática'!$P$16^1.85*L66^4.87)),'Cálc. Sist. Extinção Automática'!$B$18*'Cálc. Sist. Extinção Automática'!$AU$19*I66*((4*'Cálc. Sist. Extinção Automática'!$P$16*((AG66^7)/(L66/1000))^(1/4))/(L66/1000))))</f>
        <v/>
      </c>
      <c r="N66" s="1272" t="str">
        <f>IF(OR($C$58="",G66="",G66=0),"",G66*'Cálc. Sist. Extinção Automática'!$AU$19*'Cálc. Sist. Extinção Automática'!$B$18)</f>
        <v/>
      </c>
      <c r="O66" s="1272" t="str">
        <f t="shared" si="4"/>
        <v/>
      </c>
      <c r="P66" s="925"/>
      <c r="Q66" s="925"/>
      <c r="R66" s="925"/>
      <c r="S66" s="925"/>
      <c r="T66" s="925"/>
      <c r="U66" s="925"/>
      <c r="V66" s="925"/>
      <c r="W66" s="849" t="str">
        <f t="shared" si="5"/>
        <v/>
      </c>
      <c r="X66" s="849" t="str">
        <f>IF(K66="","",IF($K66&lt;='Quadro 1'!$G$10,'Quadro 1'!$G$10,IF($K66&lt;='Quadro 1'!$G$11,'Quadro 1'!$G$11,IF($K66&lt;='Quadro 1'!$G$12,'Quadro 1'!$G$12,IF($K66&lt;='Quadro 1'!$G$13,'Quadro 1'!$G$13,IF($K66&lt;='Quadro 1'!$G$14,'Quadro 1'!$G$14,IF($K66&lt;='Quadro 1'!$G$15,'Quadro 1'!$G$15,IF($K66&lt;='Quadro 1'!$G$16,'Quadro 1'!$G$16,IF($K66&lt;='Quadro 1'!$G$17,'Quadro 1'!$G$17,IF($K66&lt;='Quadro 1'!$G$18,'Quadro 1'!$G$18,IF($K66&lt;='Quadro 1'!$G$19,'Quadro 1'!$G$19,IF($K66&lt;='Quadro 1'!$G$20,'Quadro 1'!$G$20,IF($K66&lt;='Quadro 1'!$G$21,'Quadro 1'!$G$21,IF($K66&lt;='Quadro 1'!$G$22,'Quadro 1'!$G$22,IF($K66&lt;='Quadro 1'!$G$23,'Quadro 1'!$G$23,'Quadro 1'!$G$23)))))))))))))))</f>
        <v/>
      </c>
      <c r="Y66" s="849" t="str">
        <f>IF(C66="","",IF(AND('Cálc. Sist. Extinção Automática'!$A$5&gt;=1,'Cálc. Sist. Extinção Automática'!$A$5&lt;=7,MAX($AD66:$AF66)=0),"",IF(AND('Cálc. Sist. Extinção Automática'!$A$5&gt;=1,'Cálc. Sist. Extinção Automática'!$A$5&lt;=7),MAX($AD66:$AF66),IF(AND('Cálc. Sist. Extinção Automática'!$A$5&gt;=11,'Cálc. Sist. Extinção Automática'!$A$5&lt;=18),MAX($AA66:$AC66),IF('Cálc. Sist. Extinção Automática'!$A$5=8,$AA66,IF('Cálc. Sist. Extinção Automática'!$A$5=9,$AB66,IF('Cálc. Sist. Extinção Automática'!$A$5=10,$AC66,"")))))))</f>
        <v/>
      </c>
      <c r="Z66" s="257">
        <f t="shared" si="0"/>
        <v>0</v>
      </c>
      <c r="AA66" s="496">
        <f t="shared" si="1"/>
        <v>27.3</v>
      </c>
      <c r="AB66" s="496">
        <f t="shared" si="1"/>
        <v>27.3</v>
      </c>
      <c r="AC66" s="496">
        <f t="shared" si="2"/>
        <v>36</v>
      </c>
      <c r="AD66" s="495" t="str">
        <f>IF(OR('Cálc. Sist. Extinção Automática'!$A$5&lt;&gt;1,$B66=""),"",IF($Z66&lt;=2,27.3,IF($Z66&lt;=3,36,IF($Z66&lt;=5,41.9,IF($Z66&lt;=10,53.1,IF($Z66&lt;=30,68.9,IF($Z66&lt;=60,80.9,IF($Z66&lt;=100,105.3,129.7))))))))</f>
        <v/>
      </c>
      <c r="AE66" s="496" t="str">
        <f>IF(OR(AND('Cálc. Sist. Extinção Automática'!$A$5&lt;&gt;2,'Cálc. Sist. Extinção Automática'!$A$5&lt;&gt;3,'Cálc. Sist. Extinção Automática'!$A$5&lt;&gt;4),$B66=""),"",IF($Z66&lt;=2,27.3,IF($Z66&lt;=3,36,IF($Z66&lt;=5,41.9,IF($Z66&lt;=10,53.1,IF($Z66&lt;=20,68.9,IF($Z66&lt;=40,80.9,IF($Z66&lt;=100,105.3,129.7))))))))</f>
        <v/>
      </c>
      <c r="AF66" s="496" t="str">
        <f>IF(OR(AND('Cálc. Sist. Extinção Automática'!$A$5&lt;&gt;5,'Cálc. Sist. Extinção Automática'!$A$5&lt;&gt;6),$B66=""),"",IF($Z66&lt;=1,27.3,IF($Z66&lt;=2,36,IF($Z66&lt;=5,41.9,IF($Z66&lt;=8,53.1,IF($Z66&lt;=15,68.9,IF($Z66&lt;=27,80.9,IF($Z66&lt;=55,105.3,129.7))))))))</f>
        <v/>
      </c>
      <c r="AG66" s="523" t="str">
        <f>IF(OR(J66="",L66=""),"",(66.7*J66/'Cálc. Sist. Extinção Automática'!$B$17)/(PI()*W66^2))</f>
        <v/>
      </c>
      <c r="AK66" s="1061" t="str">
        <f>IF(I66="","",'Curvas da Instalação'!$D$22)</f>
        <v/>
      </c>
      <c r="AN66" s="1086" t="str">
        <f>IF(AK66="","",(66.7*AK66/'Cálc. Sist. Extinção Automática'!$B$17)/(PI()*L66^2))</f>
        <v/>
      </c>
      <c r="AO66" s="1089"/>
      <c r="AP66" s="136" t="str">
        <f>IF(AK66="","",IF('Cálc. Sist. Extinção Automática'!$M$15="",'Cálc. Sist. Extinção Automática'!$B$18*'Cálc. Sist. Extinção Automática'!$AU$19*I66*61.7*100000*((AK66/'Cálc. Sist. Extinção Automática'!$B$17)^1.85/('Cálc. Sist. Extinção Automática'!$P$16^1.85*L66^4.87)),'Cálc. Sist. Extinção Automática'!$B$18*'Cálc. Sist. Extinção Automática'!$AU$19*I66*((4*'Cálc. Sist. Extinção Automática'!$P$16*((AN66^7)/(L66/1000))^(1/4))/(L66/1000))))</f>
        <v/>
      </c>
      <c r="AQ66" s="136" t="str">
        <f t="shared" si="6"/>
        <v/>
      </c>
      <c r="AR66" s="136" t="str">
        <f t="shared" si="7"/>
        <v/>
      </c>
    </row>
    <row r="67" spans="1:44" ht="13.3" thickTop="1" thickBot="1" x14ac:dyDescent="0.35">
      <c r="A67" s="925"/>
      <c r="B67" s="1093" t="str">
        <f t="shared" si="8"/>
        <v/>
      </c>
      <c r="C67" s="843"/>
      <c r="D67" s="844"/>
      <c r="E67" s="845"/>
      <c r="F67" s="841"/>
      <c r="G67" s="842"/>
      <c r="H67" s="1132"/>
      <c r="I67" s="1270" t="str">
        <f>IF(OR($C$58="",F67=""),"",IF(H67="",F67*(1+'Cálc. Sist. Extinção Automática'!$P$14),F67+H67))</f>
        <v/>
      </c>
      <c r="J67" s="1276" t="str">
        <f>IF(OR($C$58="",F67=""),"",MAX('Cálc. Sist. Extinção Automática'!$R$25:$R$49))</f>
        <v/>
      </c>
      <c r="K67" s="1133"/>
      <c r="L67" s="849" t="str">
        <f t="shared" si="3"/>
        <v/>
      </c>
      <c r="M67" s="1272" t="str">
        <f>IF(OR('Cálc. Sist. Extinção Automática'!$P$16="",J67="",L67="",$C$58=""),"",IF('Cálc. Sist. Extinção Automática'!$M$15="",'Cálc. Sist. Extinção Automática'!$B$18*'Cálc. Sist. Extinção Automática'!$AU$19*I67*61.7*100000*((J67/'Cálc. Sist. Extinção Automática'!$B$17)^1.85/('Cálc. Sist. Extinção Automática'!$P$16^1.85*L67^4.87)),'Cálc. Sist. Extinção Automática'!$B$18*'Cálc. Sist. Extinção Automática'!$AU$19*I67*((4*'Cálc. Sist. Extinção Automática'!$P$16*((AG67^7)/(L67/1000))^(1/4))/(L67/1000))))</f>
        <v/>
      </c>
      <c r="N67" s="1272" t="str">
        <f>IF(OR($C$58="",G67="",G67=0),"",G67*'Cálc. Sist. Extinção Automática'!$AU$19*'Cálc. Sist. Extinção Automática'!$B$18)</f>
        <v/>
      </c>
      <c r="O67" s="1277" t="str">
        <f t="shared" si="4"/>
        <v/>
      </c>
      <c r="P67" s="925"/>
      <c r="Q67" s="925"/>
      <c r="R67" s="925"/>
      <c r="S67" s="925"/>
      <c r="T67" s="925"/>
      <c r="U67" s="925"/>
      <c r="V67" s="925"/>
      <c r="W67" s="849" t="str">
        <f t="shared" si="5"/>
        <v/>
      </c>
      <c r="X67" s="849" t="str">
        <f>IF(K67="","",IF($K67&lt;='Quadro 1'!$G$10,'Quadro 1'!$G$10,IF($K67&lt;='Quadro 1'!$G$11,'Quadro 1'!$G$11,IF($K67&lt;='Quadro 1'!$G$12,'Quadro 1'!$G$12,IF($K67&lt;='Quadro 1'!$G$13,'Quadro 1'!$G$13,IF($K67&lt;='Quadro 1'!$G$14,'Quadro 1'!$G$14,IF($K67&lt;='Quadro 1'!$G$15,'Quadro 1'!$G$15,IF($K67&lt;='Quadro 1'!$G$16,'Quadro 1'!$G$16,IF($K67&lt;='Quadro 1'!$G$17,'Quadro 1'!$G$17,IF($K67&lt;='Quadro 1'!$G$18,'Quadro 1'!$G$18,IF($K67&lt;='Quadro 1'!$G$19,'Quadro 1'!$G$19,IF($K67&lt;='Quadro 1'!$G$20,'Quadro 1'!$G$20,IF($K67&lt;='Quadro 1'!$G$21,'Quadro 1'!$G$21,IF($K67&lt;='Quadro 1'!$G$22,'Quadro 1'!$G$22,IF($K67&lt;='Quadro 1'!$G$23,'Quadro 1'!$G$23,'Quadro 1'!$G$23)))))))))))))))</f>
        <v/>
      </c>
      <c r="Y67" s="849" t="str">
        <f>IF(C67="","",IF(AND('Cálc. Sist. Extinção Automática'!$A$5&gt;=1,'Cálc. Sist. Extinção Automática'!$A$5&lt;=7,MAX($AD67:$AF67)=0),"",IF(AND('Cálc. Sist. Extinção Automática'!$A$5&gt;=1,'Cálc. Sist. Extinção Automática'!$A$5&lt;=7),MAX($AD67:$AF67),IF(AND('Cálc. Sist. Extinção Automática'!$A$5&gt;=11,'Cálc. Sist. Extinção Automática'!$A$5&lt;=18),MAX($AA67:$AC67),IF('Cálc. Sist. Extinção Automática'!$A$5=8,$AA67,IF('Cálc. Sist. Extinção Automática'!$A$5=9,$AB67,IF('Cálc. Sist. Extinção Automática'!$A$5=10,$AC67,"")))))))</f>
        <v/>
      </c>
      <c r="Z67" s="257">
        <f t="shared" si="0"/>
        <v>0</v>
      </c>
      <c r="AA67" s="496">
        <f t="shared" si="1"/>
        <v>27.3</v>
      </c>
      <c r="AB67" s="496">
        <f t="shared" si="1"/>
        <v>27.3</v>
      </c>
      <c r="AC67" s="496">
        <f t="shared" si="2"/>
        <v>36</v>
      </c>
      <c r="AD67" s="495" t="str">
        <f>IF(OR('Cálc. Sist. Extinção Automática'!$A$5&lt;&gt;1,$B67=""),"",IF($Z67&lt;=2,27.3,IF($Z67&lt;=3,36,IF($Z67&lt;=5,41.9,IF($Z67&lt;=10,53.1,IF($Z67&lt;=30,68.9,IF($Z67&lt;=60,80.9,IF($Z67&lt;=100,105.3,129.7))))))))</f>
        <v/>
      </c>
      <c r="AE67" s="496" t="str">
        <f>IF(OR(AND('Cálc. Sist. Extinção Automática'!$A$5&lt;&gt;2,'Cálc. Sist. Extinção Automática'!$A$5&lt;&gt;3,'Cálc. Sist. Extinção Automática'!$A$5&lt;&gt;4),$B67=""),"",IF($Z67&lt;=2,27.3,IF($Z67&lt;=3,36,IF($Z67&lt;=5,41.9,IF($Z67&lt;=10,53.1,IF($Z67&lt;=20,68.9,IF($Z67&lt;=40,80.9,IF($Z67&lt;=100,105.3,129.7))))))))</f>
        <v/>
      </c>
      <c r="AF67" s="496" t="str">
        <f>IF(OR(AND('Cálc. Sist. Extinção Automática'!$A$5&lt;&gt;5,'Cálc. Sist. Extinção Automática'!$A$5&lt;&gt;6),$B67=""),"",IF($Z67&lt;=1,27.3,IF($Z67&lt;=2,36,IF($Z67&lt;=5,41.9,IF($Z67&lt;=8,53.1,IF($Z67&lt;=15,68.9,IF($Z67&lt;=27,80.9,IF($Z67&lt;=55,105.3,129.7))))))))</f>
        <v/>
      </c>
      <c r="AG67" s="523" t="str">
        <f>IF(OR(J67="",L67=""),"",(66.7*J67/'Cálc. Sist. Extinção Automática'!$B$17)/(PI()*W67^2))</f>
        <v/>
      </c>
      <c r="AK67" s="1061" t="str">
        <f>IF(I67="","",'Curvas da Instalação'!$D$22)</f>
        <v/>
      </c>
      <c r="AN67" s="1086" t="str">
        <f>IF(AK67="","",(66.7*AK67/'Cálc. Sist. Extinção Automática'!$B$17)/(PI()*L67^2))</f>
        <v/>
      </c>
      <c r="AO67" s="1089"/>
      <c r="AP67" s="136" t="str">
        <f>IF(AK67="","",IF('Cálc. Sist. Extinção Automática'!$M$15="",'Cálc. Sist. Extinção Automática'!$B$18*'Cálc. Sist. Extinção Automática'!$AU$19*I67*61.7*100000*((AK67/'Cálc. Sist. Extinção Automática'!$B$17)^1.85/('Cálc. Sist. Extinção Automática'!$P$16^1.85*L67^4.87)),'Cálc. Sist. Extinção Automática'!$B$18*'Cálc. Sist. Extinção Automática'!$AU$19*I67*((4*'Cálc. Sist. Extinção Automática'!$P$16*((AN67^7)/(L67/1000))^(1/4))/(L67/1000))))</f>
        <v/>
      </c>
      <c r="AQ67" s="136" t="str">
        <f t="shared" si="6"/>
        <v/>
      </c>
      <c r="AR67" s="136" t="str">
        <f t="shared" si="7"/>
        <v/>
      </c>
    </row>
    <row r="68" spans="1:44" ht="13.3" thickTop="1" thickBot="1" x14ac:dyDescent="0.35">
      <c r="A68" s="925"/>
      <c r="B68" s="925"/>
      <c r="C68" s="925"/>
      <c r="D68" s="940"/>
      <c r="E68" s="925"/>
      <c r="F68" s="925"/>
      <c r="G68" s="925"/>
      <c r="H68" s="925"/>
      <c r="I68" s="925"/>
      <c r="J68" s="925"/>
      <c r="K68" s="925"/>
      <c r="L68" s="925"/>
      <c r="M68" s="1081" t="s">
        <v>769</v>
      </c>
      <c r="N68" s="1278">
        <f>SUM(N58:N67)</f>
        <v>0</v>
      </c>
      <c r="O68" s="1278">
        <f>SUM(O58:O67)</f>
        <v>0</v>
      </c>
      <c r="P68" s="925"/>
      <c r="Q68" s="925"/>
      <c r="R68" s="925"/>
      <c r="S68" s="925"/>
      <c r="T68" s="925"/>
      <c r="U68" s="925"/>
      <c r="V68" s="925"/>
      <c r="AP68" s="1081" t="s">
        <v>769</v>
      </c>
      <c r="AQ68" s="1082">
        <f>SUM(AQ58:AQ67)</f>
        <v>0</v>
      </c>
      <c r="AR68" s="1082">
        <f>SUM(AR58:AR67)</f>
        <v>0</v>
      </c>
    </row>
    <row r="69" spans="1:44" ht="12.9" thickTop="1" x14ac:dyDescent="0.3">
      <c r="A69" s="925"/>
      <c r="B69" s="925"/>
      <c r="C69" s="925"/>
      <c r="D69" s="940"/>
      <c r="E69" s="925"/>
      <c r="F69" s="925"/>
      <c r="G69" s="925"/>
      <c r="H69" s="925"/>
      <c r="I69" s="925"/>
      <c r="J69" s="925"/>
      <c r="K69" s="925"/>
      <c r="L69" s="925"/>
      <c r="M69" s="925"/>
      <c r="N69" s="925"/>
      <c r="O69" s="1080"/>
      <c r="P69" s="925"/>
      <c r="Q69" s="925"/>
      <c r="R69" s="925"/>
      <c r="S69" s="925"/>
      <c r="T69" s="925"/>
      <c r="U69" s="925"/>
      <c r="V69" s="925"/>
      <c r="W69" s="1094" t="s">
        <v>757</v>
      </c>
      <c r="X69" s="1083"/>
      <c r="Y69" s="1083"/>
      <c r="Z69" s="1083"/>
      <c r="AA69" s="1083"/>
      <c r="AB69" s="1083"/>
      <c r="AC69" s="1083"/>
      <c r="AD69" s="1083"/>
      <c r="AE69" s="1083"/>
      <c r="AF69" s="1083"/>
      <c r="AG69" s="1083"/>
      <c r="AH69" s="1083"/>
      <c r="AI69" s="1083"/>
      <c r="AK69" s="1094" t="s">
        <v>772</v>
      </c>
      <c r="AL69" s="1083"/>
      <c r="AM69" s="1083"/>
      <c r="AN69" s="1083"/>
      <c r="AO69" s="1083"/>
      <c r="AP69" s="1083"/>
      <c r="AQ69" s="1083"/>
    </row>
    <row r="70" spans="1:44" ht="18.75" customHeight="1" x14ac:dyDescent="0.5">
      <c r="A70" s="925"/>
      <c r="B70" s="925"/>
      <c r="C70" s="925"/>
      <c r="D70" s="940"/>
      <c r="E70" s="925"/>
      <c r="F70" s="925"/>
      <c r="G70" s="925"/>
      <c r="H70" s="925"/>
      <c r="I70" s="925"/>
      <c r="J70" s="925"/>
      <c r="K70" s="925"/>
      <c r="L70" s="925"/>
      <c r="M70" s="925"/>
      <c r="N70" s="925"/>
      <c r="O70" s="925"/>
      <c r="P70" s="925"/>
      <c r="Q70" s="925"/>
      <c r="R70" s="925"/>
      <c r="S70" s="925"/>
      <c r="T70" s="925"/>
      <c r="U70" s="925"/>
      <c r="V70" s="925"/>
      <c r="X70" s="941" t="s">
        <v>74</v>
      </c>
      <c r="Y70" s="941" t="s">
        <v>74</v>
      </c>
      <c r="Z70" s="941" t="s">
        <v>582</v>
      </c>
      <c r="AA70" s="1078" t="s">
        <v>53</v>
      </c>
      <c r="AB70" s="1078" t="s">
        <v>52</v>
      </c>
      <c r="AC70" s="1069" t="s">
        <v>513</v>
      </c>
      <c r="AF70" s="1055" t="s">
        <v>755</v>
      </c>
      <c r="AG70" s="683" t="s">
        <v>410</v>
      </c>
      <c r="AH70" s="683" t="s">
        <v>204</v>
      </c>
      <c r="AI70" s="683" t="s">
        <v>764</v>
      </c>
      <c r="AK70" s="507" t="s">
        <v>374</v>
      </c>
      <c r="AL70" s="183" t="s">
        <v>458</v>
      </c>
      <c r="AM70" s="182" t="s">
        <v>335</v>
      </c>
      <c r="AN70" s="499" t="s">
        <v>59</v>
      </c>
      <c r="AO70" s="683" t="s">
        <v>410</v>
      </c>
      <c r="AP70" s="1066" t="s">
        <v>204</v>
      </c>
    </row>
    <row r="71" spans="1:44" ht="14.6" thickBot="1" x14ac:dyDescent="0.35">
      <c r="A71" s="925"/>
      <c r="B71" s="925"/>
      <c r="C71" s="925"/>
      <c r="D71" s="940"/>
      <c r="E71" s="925"/>
      <c r="F71" s="925"/>
      <c r="G71" s="925"/>
      <c r="H71" s="925"/>
      <c r="I71" s="925"/>
      <c r="J71" s="925"/>
      <c r="K71" s="925"/>
      <c r="L71" s="925"/>
      <c r="M71" s="925"/>
      <c r="N71" s="925"/>
      <c r="O71" s="925"/>
      <c r="P71" s="925"/>
      <c r="Q71" s="925"/>
      <c r="R71" s="925"/>
      <c r="S71" s="925"/>
      <c r="T71" s="925"/>
      <c r="U71" s="925"/>
      <c r="V71" s="925"/>
      <c r="X71" s="1060" t="s">
        <v>575</v>
      </c>
      <c r="Y71" s="1060" t="s">
        <v>753</v>
      </c>
      <c r="Z71" s="1060" t="s">
        <v>754</v>
      </c>
      <c r="AC71" s="502" t="s">
        <v>331</v>
      </c>
      <c r="AF71" s="1059" t="s">
        <v>756</v>
      </c>
      <c r="AG71" s="1054" t="str">
        <f>'Cálc. Sist. Extinção Automática'!AH24</f>
        <v>kPa</v>
      </c>
      <c r="AH71" s="1054" t="str">
        <f>AG71</f>
        <v>kPa</v>
      </c>
      <c r="AI71" s="1054" t="str">
        <f>'Cálc. Sist. Extinção Automática'!AJ24</f>
        <v>kPa</v>
      </c>
      <c r="AK71" s="519" t="str">
        <f>J57</f>
        <v>l/min</v>
      </c>
      <c r="AL71" s="516" t="s">
        <v>40</v>
      </c>
      <c r="AM71" s="1087" t="s">
        <v>39</v>
      </c>
      <c r="AN71" s="500" t="s">
        <v>51</v>
      </c>
      <c r="AO71" s="1054" t="str">
        <f>AG71</f>
        <v>kPa</v>
      </c>
      <c r="AP71" s="520" t="str">
        <f>AG71</f>
        <v>kPa</v>
      </c>
    </row>
    <row r="72" spans="1:44" ht="13.3" thickTop="1" thickBot="1" x14ac:dyDescent="0.35">
      <c r="A72" s="925"/>
      <c r="B72" s="925"/>
      <c r="C72" s="925"/>
      <c r="D72" s="940"/>
      <c r="E72" s="925"/>
      <c r="F72" s="925"/>
      <c r="G72" s="925"/>
      <c r="H72" s="925"/>
      <c r="I72" s="925"/>
      <c r="J72" s="925"/>
      <c r="K72" s="925"/>
      <c r="L72" s="925"/>
      <c r="M72" s="925"/>
      <c r="N72" s="925"/>
      <c r="O72" s="925"/>
      <c r="P72" s="925"/>
      <c r="Q72" s="925"/>
      <c r="R72" s="925"/>
      <c r="S72" s="925"/>
      <c r="T72" s="925"/>
      <c r="U72" s="925"/>
      <c r="V72" s="925"/>
      <c r="W72" s="1051">
        <f>IF(AA72="","",COUNTIF(AA72:AA97,AA72))</f>
        <v>1</v>
      </c>
      <c r="X72" s="1051"/>
      <c r="Y72" s="1051"/>
      <c r="Z72" s="1051"/>
      <c r="AA72" s="1096">
        <f>C24</f>
        <v>0</v>
      </c>
      <c r="AC72" s="1491">
        <f>IF(MAX($AC$73:$AC$97)='Cálc. Sist. Extinção Automática'!P8,MAX($AC$73:$AC$97),IF(MAX($AC$73:$AC$97)='Cálc. Sist. Extinção Automática'!AY4,MAX($AC$73:$AC$97),'Cálc. Sist. Extinção Automática'!P8))</f>
        <v>18</v>
      </c>
      <c r="AD72" s="1057">
        <f>MIN(AD73:AD97)</f>
        <v>0</v>
      </c>
      <c r="AE72" s="940"/>
      <c r="AF72" s="940"/>
      <c r="AG72" s="1056">
        <f>SUM(AG73:AG97)</f>
        <v>0</v>
      </c>
      <c r="AI72" s="1056">
        <f>SUM(AI73:AI97)</f>
        <v>0</v>
      </c>
      <c r="AO72" s="1056">
        <f>SUM(AO73:AO97)</f>
        <v>0</v>
      </c>
    </row>
    <row r="73" spans="1:44" ht="13.3" thickTop="1" thickBot="1" x14ac:dyDescent="0.35">
      <c r="A73" s="925"/>
      <c r="B73" s="925"/>
      <c r="C73" s="925"/>
      <c r="D73" s="940"/>
      <c r="E73" s="925"/>
      <c r="F73" s="925"/>
      <c r="G73" s="925"/>
      <c r="H73" s="925"/>
      <c r="I73" s="925"/>
      <c r="J73" s="925"/>
      <c r="K73" s="925"/>
      <c r="L73" s="925"/>
      <c r="M73" s="925"/>
      <c r="N73" s="925"/>
      <c r="O73" s="925"/>
      <c r="P73" s="925"/>
      <c r="Q73" s="925"/>
      <c r="R73" s="925"/>
      <c r="S73" s="925"/>
      <c r="T73" s="925"/>
      <c r="U73" s="925"/>
      <c r="V73" s="925"/>
      <c r="W73" s="925">
        <v>1</v>
      </c>
      <c r="X73" s="1052" t="str">
        <f>'Cálc. Sist. Extinção Automática'!B25</f>
        <v/>
      </c>
      <c r="Y73" s="1052" t="str">
        <f>'Cálc. Sist. Extinção Automática'!D25</f>
        <v/>
      </c>
      <c r="Z73" s="1052" t="str">
        <f t="shared" ref="Z73:Z97" si="9">IF($AA$72=AB73,W73,"")</f>
        <v/>
      </c>
      <c r="AA73" s="1063" t="str">
        <f>IF('Cálc. Sist. Extinção Automática'!F25&lt;&gt;"",'Cálc. Sist. Extinção Automática'!F25,"")</f>
        <v/>
      </c>
      <c r="AB73" s="1063" t="str">
        <f>IF('Cálc. Sist. Extinção Automática'!G25&lt;&gt;"",'Cálc. Sist. Extinção Automática'!G25,"")</f>
        <v/>
      </c>
      <c r="AC73" s="1064" t="str">
        <f>IF('Cálc. Sist. Extinção Automática'!H25&lt;&gt;"",'Cálc. Sist. Extinção Automática'!H25,"")</f>
        <v/>
      </c>
      <c r="AD73" s="940" t="str">
        <f>IF(Z73="","",IF(25-COUNTBLANK('Cálc. Sist. Extinção Automática'!DT25:'Cálc. Sist. Extinção Automática'!ER25)=0,"",25-COUNTBLANK('Cálc. Sist. Extinção Automática'!DT25:'Cálc. Sist. Extinção Automática'!ER25)))</f>
        <v/>
      </c>
      <c r="AE73" s="940" t="str">
        <f>IF(25-COUNTBLANK('Cálc. Sist. Extinção Automática'!DT25:'Cálc. Sist. Extinção Automática'!ER25)=0,"",25-COUNTBLANK('Cálc. Sist. Extinção Automática'!DT25:'Cálc. Sist. Extinção Automática'!ER25))</f>
        <v/>
      </c>
      <c r="AF73" s="940" t="str">
        <f t="shared" ref="AF73:AF97" si="10">IF(AE73&lt;=$AD$72,1,"")</f>
        <v/>
      </c>
      <c r="AG73" s="1492" t="str">
        <f>IF(OR(AND(X73="c",Y73="s"),AND(X73="c",AF73=1),AND(X73="c",AC73&lt;$AC$72)),'Cálc. Sist. Extinção Automática'!AH25,"")</f>
        <v/>
      </c>
      <c r="AH73" s="1058" t="str">
        <f>IF(AG73="","",'Cálc. Sist. Extinção Automática'!AF25)</f>
        <v/>
      </c>
      <c r="AI73" s="1058" t="str">
        <f>IF(AND(AG73="",AH73=""),"",IF(AH73="","",(AG73-AH73)))</f>
        <v/>
      </c>
      <c r="AK73" s="1084" t="str">
        <f>IF(OR($C$58,AG73=""),"",'Curvas da Instalação'!$D$22)</f>
        <v/>
      </c>
      <c r="AL73" s="1086" t="str">
        <f>IF(AK73="","",'Cálc. Sist. Extinção Automática'!M25)</f>
        <v/>
      </c>
      <c r="AM73" s="1085" t="str">
        <f>IF(AK73="","",'Cálc. Sist. Extinção Automática'!W25)</f>
        <v/>
      </c>
      <c r="AN73" s="1086" t="str">
        <f>IF(AK73="","",(66.7*AK73/'Cálc. Sist. Extinção Automática'!$B$17)/(PI()*AM73^2))</f>
        <v/>
      </c>
      <c r="AO73" s="136" t="str">
        <f>IF(AK73="","",AP73+AI73)</f>
        <v/>
      </c>
      <c r="AP73" s="136" t="str">
        <f>IF(AK73="","",IF('Cálc. Sist. Extinção Automática'!$M$15="",'Cálc. Sist. Extinção Automática'!$B$18*'Cálc. Sist. Extinção Automática'!$AU$19*AL73*61.7*100000*((AK73/'Cálc. Sist. Extinção Automática'!$B$17)^1.85/('Cálc. Sist. Extinção Automática'!$P$16^1.85*AM73^4.87)),'Cálc. Sist. Extinção Automática'!$B$18*'Cálc. Sist. Extinção Automática'!$AU$19*AL73*((4*'Cálc. Sist. Extinção Automática'!$P$16*((AN73^7)/(AM73/1000))^(1/4))/(AM73/1000))))</f>
        <v/>
      </c>
    </row>
    <row r="74" spans="1:44" ht="13.3" thickTop="1" thickBot="1" x14ac:dyDescent="0.35">
      <c r="A74" s="925"/>
      <c r="B74" s="925"/>
      <c r="C74" s="925"/>
      <c r="D74" s="940"/>
      <c r="E74" s="925"/>
      <c r="F74" s="925"/>
      <c r="G74" s="925"/>
      <c r="H74" s="925"/>
      <c r="I74" s="925"/>
      <c r="J74" s="925"/>
      <c r="K74" s="925"/>
      <c r="L74" s="925"/>
      <c r="M74" s="925"/>
      <c r="N74" s="925"/>
      <c r="O74" s="925"/>
      <c r="P74" s="925"/>
      <c r="Q74" s="925"/>
      <c r="R74" s="925"/>
      <c r="S74" s="925"/>
      <c r="T74" s="925"/>
      <c r="U74" s="925"/>
      <c r="V74" s="925"/>
      <c r="W74" s="925">
        <v>2</v>
      </c>
      <c r="X74" s="1052" t="str">
        <f>'Cálc. Sist. Extinção Automática'!B26</f>
        <v/>
      </c>
      <c r="Y74" s="1052" t="str">
        <f>'Cálc. Sist. Extinção Automática'!D26</f>
        <v/>
      </c>
      <c r="Z74" s="1052" t="str">
        <f t="shared" si="9"/>
        <v/>
      </c>
      <c r="AA74" s="1063" t="str">
        <f>IF('Cálc. Sist. Extinção Automática'!F26&lt;&gt;"",'Cálc. Sist. Extinção Automática'!F26,"")</f>
        <v/>
      </c>
      <c r="AB74" s="1063" t="str">
        <f>IF('Cálc. Sist. Extinção Automática'!G26&lt;&gt;"",'Cálc. Sist. Extinção Automática'!G26,"")</f>
        <v/>
      </c>
      <c r="AC74" s="1064" t="str">
        <f>IF('Cálc. Sist. Extinção Automática'!H26&lt;&gt;"",'Cálc. Sist. Extinção Automática'!H26,"")</f>
        <v/>
      </c>
      <c r="AD74" s="940" t="str">
        <f>IF(Z74="","",IF(25-COUNTBLANK('Cálc. Sist. Extinção Automática'!DT26:'Cálc. Sist. Extinção Automática'!ER26)=0,"",25-COUNTBLANK('Cálc. Sist. Extinção Automática'!DT26:'Cálc. Sist. Extinção Automática'!ER26)))</f>
        <v/>
      </c>
      <c r="AE74" s="940" t="str">
        <f>IF(25-COUNTBLANK('Cálc. Sist. Extinção Automática'!DT26:'Cálc. Sist. Extinção Automática'!ER26)=0,"",25-COUNTBLANK('Cálc. Sist. Extinção Automática'!DT26:'Cálc. Sist. Extinção Automática'!ER26))</f>
        <v/>
      </c>
      <c r="AF74" s="940" t="str">
        <f t="shared" si="10"/>
        <v/>
      </c>
      <c r="AG74" s="1492" t="str">
        <f>IF(OR(AND(X74="c",Y74="s"),AND(X74="c",AF74=1),AND(X74="c",AC74&lt;$AC$72)),'Cálc. Sist. Extinção Automática'!AH26,"")</f>
        <v/>
      </c>
      <c r="AH74" s="1058" t="str">
        <f>IF(AG74="","",'Cálc. Sist. Extinção Automática'!AF26)</f>
        <v/>
      </c>
      <c r="AI74" s="1058" t="str">
        <f t="shared" ref="AI74:AI97" si="11">IF(AND(AG74="",AH74=""),"",IF(AH74="","",(AG74-AH74)))</f>
        <v/>
      </c>
      <c r="AK74" s="1084" t="str">
        <f>IF(OR($C$58,AG74=""),"",'Curvas da Instalação'!$D$22)</f>
        <v/>
      </c>
      <c r="AL74" s="1086" t="str">
        <f>IF(AK74="","",'Cálc. Sist. Extinção Automática'!M26)</f>
        <v/>
      </c>
      <c r="AM74" s="1085" t="str">
        <f>IF(AK74="","",'Cálc. Sist. Extinção Automática'!W26)</f>
        <v/>
      </c>
      <c r="AN74" s="1086" t="str">
        <f>IF(AK74="","",(66.7*AK74/'Cálc. Sist. Extinção Automática'!$B$17)/(PI()*AM74^2))</f>
        <v/>
      </c>
      <c r="AO74" s="136" t="str">
        <f t="shared" ref="AO74:AO97" si="12">IF(AK74="","",AP74+AI74)</f>
        <v/>
      </c>
      <c r="AP74" s="136" t="str">
        <f>IF(AK74="","",IF('Cálc. Sist. Extinção Automática'!$M$15="",'Cálc. Sist. Extinção Automática'!$B$18*'Cálc. Sist. Extinção Automática'!$AU$19*AL74*61.7*100000*((AK74/'Cálc. Sist. Extinção Automática'!$B$17)^1.85/('Cálc. Sist. Extinção Automática'!$P$16^1.85*AM74^4.87)),'Cálc. Sist. Extinção Automática'!$B$18*'Cálc. Sist. Extinção Automática'!$AU$19*AL74*((4*'Cálc. Sist. Extinção Automática'!$P$16*((AN74^7)/(AM74/1000))^(1/4))/(AM74/1000))))</f>
        <v/>
      </c>
    </row>
    <row r="75" spans="1:44" ht="13.3" thickTop="1" thickBot="1" x14ac:dyDescent="0.35">
      <c r="A75" s="925"/>
      <c r="B75" s="925"/>
      <c r="C75" s="925"/>
      <c r="D75" s="940"/>
      <c r="E75" s="925"/>
      <c r="F75" s="925"/>
      <c r="G75" s="925"/>
      <c r="H75" s="925"/>
      <c r="I75" s="925"/>
      <c r="J75" s="925"/>
      <c r="K75" s="925"/>
      <c r="L75" s="925"/>
      <c r="M75" s="925"/>
      <c r="N75" s="925"/>
      <c r="O75" s="925"/>
      <c r="P75" s="925"/>
      <c r="Q75" s="925"/>
      <c r="R75" s="925"/>
      <c r="S75" s="925"/>
      <c r="T75" s="925"/>
      <c r="U75" s="925"/>
      <c r="V75" s="925"/>
      <c r="W75" s="925">
        <v>3</v>
      </c>
      <c r="X75" s="1052" t="str">
        <f>'Cálc. Sist. Extinção Automática'!B27</f>
        <v/>
      </c>
      <c r="Y75" s="1052" t="str">
        <f>'Cálc. Sist. Extinção Automática'!D27</f>
        <v/>
      </c>
      <c r="Z75" s="1052" t="str">
        <f t="shared" si="9"/>
        <v/>
      </c>
      <c r="AA75" s="1063" t="str">
        <f>IF('Cálc. Sist. Extinção Automática'!F27&lt;&gt;"",'Cálc. Sist. Extinção Automática'!F27,"")</f>
        <v/>
      </c>
      <c r="AB75" s="1063" t="str">
        <f>IF('Cálc. Sist. Extinção Automática'!G27&lt;&gt;"",'Cálc. Sist. Extinção Automática'!G27,"")</f>
        <v/>
      </c>
      <c r="AC75" s="1064" t="str">
        <f>IF('Cálc. Sist. Extinção Automática'!H27&lt;&gt;"",'Cálc. Sist. Extinção Automática'!H27,"")</f>
        <v/>
      </c>
      <c r="AD75" s="940" t="str">
        <f>IF(Z75="","",IF(25-COUNTBLANK('Cálc. Sist. Extinção Automática'!DT27:'Cálc. Sist. Extinção Automática'!ER27)=0,"",25-COUNTBLANK('Cálc. Sist. Extinção Automática'!DT27:'Cálc. Sist. Extinção Automática'!ER27)))</f>
        <v/>
      </c>
      <c r="AE75" s="940" t="str">
        <f>IF(25-COUNTBLANK('Cálc. Sist. Extinção Automática'!DT27:'Cálc. Sist. Extinção Automática'!ER27)=0,"",25-COUNTBLANK('Cálc. Sist. Extinção Automática'!DT27:'Cálc. Sist. Extinção Automática'!ER27))</f>
        <v/>
      </c>
      <c r="AF75" s="940" t="str">
        <f t="shared" si="10"/>
        <v/>
      </c>
      <c r="AG75" s="1492" t="str">
        <f>IF(OR(AND(X75="c",Y75="s"),AND(X75="c",AF75=1),AND(X75="c",AC75&lt;$AC$72)),'Cálc. Sist. Extinção Automática'!AH27,"")</f>
        <v/>
      </c>
      <c r="AH75" s="1058" t="str">
        <f>IF(AG75="","",'Cálc. Sist. Extinção Automática'!AF27)</f>
        <v/>
      </c>
      <c r="AI75" s="1058" t="str">
        <f t="shared" si="11"/>
        <v/>
      </c>
      <c r="AK75" s="1084" t="str">
        <f>IF(OR($C$58,AG75=""),"",'Curvas da Instalação'!$D$22)</f>
        <v/>
      </c>
      <c r="AL75" s="1086" t="str">
        <f>IF(AK75="","",'Cálc. Sist. Extinção Automática'!M27)</f>
        <v/>
      </c>
      <c r="AM75" s="1085" t="str">
        <f>IF(AK75="","",'Cálc. Sist. Extinção Automática'!W27)</f>
        <v/>
      </c>
      <c r="AN75" s="1086" t="str">
        <f>IF(AK75="","",(66.7*AK75/'Cálc. Sist. Extinção Automática'!$B$17)/(PI()*AM75^2))</f>
        <v/>
      </c>
      <c r="AO75" s="136" t="str">
        <f t="shared" si="12"/>
        <v/>
      </c>
      <c r="AP75" s="136" t="str">
        <f>IF(AK75="","",IF('Cálc. Sist. Extinção Automática'!$M$15="",'Cálc. Sist. Extinção Automática'!$B$18*'Cálc. Sist. Extinção Automática'!$AU$19*AL75*61.7*100000*((AK75/'Cálc. Sist. Extinção Automática'!$B$17)^1.85/('Cálc. Sist. Extinção Automática'!$P$16^1.85*AM75^4.87)),'Cálc. Sist. Extinção Automática'!$B$18*'Cálc. Sist. Extinção Automática'!$AU$19*AL75*((4*'Cálc. Sist. Extinção Automática'!$P$16*((AN75^7)/(AM75/1000))^(1/4))/(AM75/1000))))</f>
        <v/>
      </c>
    </row>
    <row r="76" spans="1:44" ht="13.3" thickTop="1" thickBot="1" x14ac:dyDescent="0.35">
      <c r="A76" s="925"/>
      <c r="B76" s="925"/>
      <c r="C76" s="925"/>
      <c r="D76" s="940"/>
      <c r="E76" s="925"/>
      <c r="F76" s="925"/>
      <c r="G76" s="925"/>
      <c r="H76" s="925"/>
      <c r="I76" s="925"/>
      <c r="J76" s="925"/>
      <c r="K76" s="925"/>
      <c r="L76" s="925"/>
      <c r="M76" s="925"/>
      <c r="N76" s="925"/>
      <c r="O76" s="925"/>
      <c r="P76" s="925"/>
      <c r="Q76" s="925"/>
      <c r="R76" s="925"/>
      <c r="S76" s="925"/>
      <c r="T76" s="925"/>
      <c r="U76" s="925"/>
      <c r="V76" s="925"/>
      <c r="W76" s="925">
        <v>4</v>
      </c>
      <c r="X76" s="1052" t="str">
        <f>'Cálc. Sist. Extinção Automática'!B28</f>
        <v/>
      </c>
      <c r="Y76" s="1052" t="str">
        <f>'Cálc. Sist. Extinção Automática'!D28</f>
        <v/>
      </c>
      <c r="Z76" s="1052" t="str">
        <f t="shared" si="9"/>
        <v/>
      </c>
      <c r="AA76" s="1063" t="str">
        <f>IF('Cálc. Sist. Extinção Automática'!F28&lt;&gt;"",'Cálc. Sist. Extinção Automática'!F28,"")</f>
        <v/>
      </c>
      <c r="AB76" s="1063" t="str">
        <f>IF('Cálc. Sist. Extinção Automática'!G28&lt;&gt;"",'Cálc. Sist. Extinção Automática'!G28,"")</f>
        <v/>
      </c>
      <c r="AC76" s="1064" t="str">
        <f>IF('Cálc. Sist. Extinção Automática'!H28&lt;&gt;"",'Cálc. Sist. Extinção Automática'!H28,"")</f>
        <v/>
      </c>
      <c r="AD76" s="940" t="str">
        <f>IF(Z76="","",IF(25-COUNTBLANK('Cálc. Sist. Extinção Automática'!DT28:'Cálc. Sist. Extinção Automática'!ER28)=0,"",25-COUNTBLANK('Cálc. Sist. Extinção Automática'!DT28:'Cálc. Sist. Extinção Automática'!ER28)))</f>
        <v/>
      </c>
      <c r="AE76" s="940" t="str">
        <f>IF(25-COUNTBLANK('Cálc. Sist. Extinção Automática'!DT28:'Cálc. Sist. Extinção Automática'!ER28)=0,"",25-COUNTBLANK('Cálc. Sist. Extinção Automática'!DT28:'Cálc. Sist. Extinção Automática'!ER28))</f>
        <v/>
      </c>
      <c r="AF76" s="940" t="str">
        <f t="shared" si="10"/>
        <v/>
      </c>
      <c r="AG76" s="1492" t="str">
        <f>IF(OR(AND(X76="c",Y76="s"),AND(X76="c",AF76=1),AND(X76="c",AC76&lt;$AC$72)),'Cálc. Sist. Extinção Automática'!AH28,"")</f>
        <v/>
      </c>
      <c r="AH76" s="1058" t="str">
        <f>IF(AG76="","",'Cálc. Sist. Extinção Automática'!AF28)</f>
        <v/>
      </c>
      <c r="AI76" s="1058" t="str">
        <f t="shared" si="11"/>
        <v/>
      </c>
      <c r="AK76" s="1084" t="str">
        <f>IF(OR($C$58,AG76=""),"",'Curvas da Instalação'!$D$22)</f>
        <v/>
      </c>
      <c r="AL76" s="1086" t="str">
        <f>IF(AK76="","",'Cálc. Sist. Extinção Automática'!M28)</f>
        <v/>
      </c>
      <c r="AM76" s="1085" t="str">
        <f>IF(AK76="","",'Cálc. Sist. Extinção Automática'!W28)</f>
        <v/>
      </c>
      <c r="AN76" s="1086" t="str">
        <f>IF(AK76="","",(66.7*AK76/'Cálc. Sist. Extinção Automática'!$B$17)/(PI()*AM76^2))</f>
        <v/>
      </c>
      <c r="AO76" s="136" t="str">
        <f t="shared" si="12"/>
        <v/>
      </c>
      <c r="AP76" s="136" t="str">
        <f>IF(AK76="","",IF('Cálc. Sist. Extinção Automática'!$M$15="",'Cálc. Sist. Extinção Automática'!$B$18*'Cálc. Sist. Extinção Automática'!$AU$19*AL76*61.7*100000*((AK76/'Cálc. Sist. Extinção Automática'!$B$17)^1.85/('Cálc. Sist. Extinção Automática'!$P$16^1.85*AM76^4.87)),'Cálc. Sist. Extinção Automática'!$B$18*'Cálc. Sist. Extinção Automática'!$AU$19*AL76*((4*'Cálc. Sist. Extinção Automática'!$P$16*((AN76^7)/(AM76/1000))^(1/4))/(AM76/1000))))</f>
        <v/>
      </c>
    </row>
    <row r="77" spans="1:44" ht="13.3" thickTop="1" thickBot="1" x14ac:dyDescent="0.35">
      <c r="A77" s="925"/>
      <c r="B77" s="925"/>
      <c r="C77" s="925"/>
      <c r="D77" s="940"/>
      <c r="E77" s="925"/>
      <c r="F77" s="925"/>
      <c r="G77" s="925"/>
      <c r="H77" s="925"/>
      <c r="I77" s="925"/>
      <c r="J77" s="925"/>
      <c r="K77" s="925"/>
      <c r="L77" s="925"/>
      <c r="M77" s="925"/>
      <c r="N77" s="925"/>
      <c r="O77" s="925"/>
      <c r="P77" s="925"/>
      <c r="Q77" s="925"/>
      <c r="R77" s="925"/>
      <c r="S77" s="925"/>
      <c r="T77" s="925"/>
      <c r="U77" s="925"/>
      <c r="V77" s="925"/>
      <c r="W77" s="925">
        <v>5</v>
      </c>
      <c r="X77" s="1052" t="str">
        <f>'Cálc. Sist. Extinção Automática'!B29</f>
        <v/>
      </c>
      <c r="Y77" s="1052" t="str">
        <f>'Cálc. Sist. Extinção Automática'!D29</f>
        <v/>
      </c>
      <c r="Z77" s="1052" t="str">
        <f t="shared" si="9"/>
        <v/>
      </c>
      <c r="AA77" s="1063" t="str">
        <f>IF('Cálc. Sist. Extinção Automática'!F29&lt;&gt;"",'Cálc. Sist. Extinção Automática'!F29,"")</f>
        <v/>
      </c>
      <c r="AB77" s="1063" t="str">
        <f>IF('Cálc. Sist. Extinção Automática'!G29&lt;&gt;"",'Cálc. Sist. Extinção Automática'!G29,"")</f>
        <v/>
      </c>
      <c r="AC77" s="1064" t="str">
        <f>IF('Cálc. Sist. Extinção Automática'!H29&lt;&gt;"",'Cálc. Sist. Extinção Automática'!H29,"")</f>
        <v/>
      </c>
      <c r="AD77" s="940" t="str">
        <f>IF(Z77="","",IF(25-COUNTBLANK('Cálc. Sist. Extinção Automática'!DT29:'Cálc. Sist. Extinção Automática'!ER29)=0,"",25-COUNTBLANK('Cálc. Sist. Extinção Automática'!DT29:'Cálc. Sist. Extinção Automática'!ER29)))</f>
        <v/>
      </c>
      <c r="AE77" s="940" t="str">
        <f>IF(25-COUNTBLANK('Cálc. Sist. Extinção Automática'!DT29:'Cálc. Sist. Extinção Automática'!ER29)=0,"",25-COUNTBLANK('Cálc. Sist. Extinção Automática'!DT29:'Cálc. Sist. Extinção Automática'!ER29))</f>
        <v/>
      </c>
      <c r="AF77" s="940" t="str">
        <f t="shared" si="10"/>
        <v/>
      </c>
      <c r="AG77" s="1492" t="str">
        <f>IF(OR(AND(X77="c",Y77="s"),AND(X77="c",AF77=1),AND(X77="c",AC77&lt;$AC$72)),'Cálc. Sist. Extinção Automática'!AH29,"")</f>
        <v/>
      </c>
      <c r="AH77" s="1058" t="str">
        <f>IF(AG77="","",'Cálc. Sist. Extinção Automática'!AF29)</f>
        <v/>
      </c>
      <c r="AI77" s="1058" t="str">
        <f t="shared" si="11"/>
        <v/>
      </c>
      <c r="AK77" s="1084" t="str">
        <f>IF(OR($C$58,AG77=""),"",'Curvas da Instalação'!$D$22)</f>
        <v/>
      </c>
      <c r="AL77" s="1086" t="str">
        <f>IF(AK77="","",'Cálc. Sist. Extinção Automática'!M29)</f>
        <v/>
      </c>
      <c r="AM77" s="1085" t="str">
        <f>IF(AK77="","",'Cálc. Sist. Extinção Automática'!W29)</f>
        <v/>
      </c>
      <c r="AN77" s="1086" t="str">
        <f>IF(AK77="","",(66.7*AK77/'Cálc. Sist. Extinção Automática'!$B$17)/(PI()*AM77^2))</f>
        <v/>
      </c>
      <c r="AO77" s="136" t="str">
        <f t="shared" si="12"/>
        <v/>
      </c>
      <c r="AP77" s="136" t="str">
        <f>IF(AK77="","",IF('Cálc. Sist. Extinção Automática'!$M$15="",'Cálc. Sist. Extinção Automática'!$B$18*'Cálc. Sist. Extinção Automática'!$AU$19*AL77*61.7*100000*((AK77/'Cálc. Sist. Extinção Automática'!$B$17)^1.85/('Cálc. Sist. Extinção Automática'!$P$16^1.85*AM77^4.87)),'Cálc. Sist. Extinção Automática'!$B$18*'Cálc. Sist. Extinção Automática'!$AU$19*AL77*((4*'Cálc. Sist. Extinção Automática'!$P$16*((AN77^7)/(AM77/1000))^(1/4))/(AM77/1000))))</f>
        <v/>
      </c>
    </row>
    <row r="78" spans="1:44" ht="13.3" thickTop="1" thickBot="1" x14ac:dyDescent="0.35">
      <c r="A78" s="925"/>
      <c r="B78" s="925"/>
      <c r="C78" s="925"/>
      <c r="D78" s="940"/>
      <c r="E78" s="925"/>
      <c r="F78" s="925"/>
      <c r="G78" s="925"/>
      <c r="H78" s="925"/>
      <c r="I78" s="925"/>
      <c r="J78" s="925"/>
      <c r="K78" s="925"/>
      <c r="L78" s="925"/>
      <c r="M78" s="925"/>
      <c r="N78" s="925"/>
      <c r="O78" s="925"/>
      <c r="P78" s="925"/>
      <c r="Q78" s="925"/>
      <c r="R78" s="925"/>
      <c r="S78" s="925"/>
      <c r="T78" s="925"/>
      <c r="U78" s="925"/>
      <c r="V78" s="925"/>
      <c r="W78" s="925">
        <v>6</v>
      </c>
      <c r="X78" s="1052" t="str">
        <f>'Cálc. Sist. Extinção Automática'!B30</f>
        <v/>
      </c>
      <c r="Y78" s="1052" t="str">
        <f>'Cálc. Sist. Extinção Automática'!D30</f>
        <v/>
      </c>
      <c r="Z78" s="1052" t="str">
        <f t="shared" si="9"/>
        <v/>
      </c>
      <c r="AA78" s="1063" t="str">
        <f>IF('Cálc. Sist. Extinção Automática'!F30&lt;&gt;"",'Cálc. Sist. Extinção Automática'!F30,"")</f>
        <v/>
      </c>
      <c r="AB78" s="1063" t="str">
        <f>IF('Cálc. Sist. Extinção Automática'!G30&lt;&gt;"",'Cálc. Sist. Extinção Automática'!G30,"")</f>
        <v/>
      </c>
      <c r="AC78" s="1064" t="str">
        <f>IF('Cálc. Sist. Extinção Automática'!H30&lt;&gt;"",'Cálc. Sist. Extinção Automática'!H30,"")</f>
        <v/>
      </c>
      <c r="AD78" s="940" t="str">
        <f>IF(Z78="","",IF(25-COUNTBLANK('Cálc. Sist. Extinção Automática'!DT30:'Cálc. Sist. Extinção Automática'!ER30)=0,"",25-COUNTBLANK('Cálc. Sist. Extinção Automática'!DT30:'Cálc. Sist. Extinção Automática'!ER30)))</f>
        <v/>
      </c>
      <c r="AE78" s="940" t="str">
        <f>IF(25-COUNTBLANK('Cálc. Sist. Extinção Automática'!DT30:'Cálc. Sist. Extinção Automática'!ER30)=0,"",25-COUNTBLANK('Cálc. Sist. Extinção Automática'!DT30:'Cálc. Sist. Extinção Automática'!ER30))</f>
        <v/>
      </c>
      <c r="AF78" s="940" t="str">
        <f t="shared" si="10"/>
        <v/>
      </c>
      <c r="AG78" s="1492" t="str">
        <f>IF(OR(AND(X78="c",Y78="s"),AND(X78="c",AF78=1),AND(X78="c",AC78&lt;$AC$72)),'Cálc. Sist. Extinção Automática'!AH30,"")</f>
        <v/>
      </c>
      <c r="AH78" s="1058" t="str">
        <f>IF(AG78="","",'Cálc. Sist. Extinção Automática'!AF30)</f>
        <v/>
      </c>
      <c r="AI78" s="1058" t="str">
        <f t="shared" si="11"/>
        <v/>
      </c>
      <c r="AK78" s="1084" t="str">
        <f>IF(OR($C$58,AG78=""),"",'Curvas da Instalação'!$D$22)</f>
        <v/>
      </c>
      <c r="AL78" s="1086" t="str">
        <f>IF(AK78="","",'Cálc. Sist. Extinção Automática'!M30)</f>
        <v/>
      </c>
      <c r="AM78" s="1085" t="str">
        <f>IF(AK78="","",'Cálc. Sist. Extinção Automática'!W30)</f>
        <v/>
      </c>
      <c r="AN78" s="1086" t="str">
        <f>IF(AK78="","",(66.7*AK78/'Cálc. Sist. Extinção Automática'!$B$17)/(PI()*AM78^2))</f>
        <v/>
      </c>
      <c r="AO78" s="136" t="str">
        <f t="shared" si="12"/>
        <v/>
      </c>
      <c r="AP78" s="136" t="str">
        <f>IF(AK78="","",IF('Cálc. Sist. Extinção Automática'!$M$15="",'Cálc. Sist. Extinção Automática'!$B$18*'Cálc. Sist. Extinção Automática'!$AU$19*AL78*61.7*100000*((AK78/'Cálc. Sist. Extinção Automática'!$B$17)^1.85/('Cálc. Sist. Extinção Automática'!$P$16^1.85*AM78^4.87)),'Cálc. Sist. Extinção Automática'!$B$18*'Cálc. Sist. Extinção Automática'!$AU$19*AL78*((4*'Cálc. Sist. Extinção Automática'!$P$16*((AN78^7)/(AM78/1000))^(1/4))/(AM78/1000))))</f>
        <v/>
      </c>
    </row>
    <row r="79" spans="1:44" ht="13.3" thickTop="1" thickBot="1" x14ac:dyDescent="0.35">
      <c r="A79" s="925"/>
      <c r="B79" s="925"/>
      <c r="C79" s="925"/>
      <c r="D79" s="940"/>
      <c r="E79" s="925"/>
      <c r="F79" s="925"/>
      <c r="G79" s="925"/>
      <c r="H79" s="925"/>
      <c r="I79" s="925"/>
      <c r="J79" s="925"/>
      <c r="K79" s="925"/>
      <c r="L79" s="925"/>
      <c r="M79" s="925"/>
      <c r="N79" s="925"/>
      <c r="O79" s="925"/>
      <c r="P79" s="925"/>
      <c r="Q79" s="925"/>
      <c r="R79" s="925"/>
      <c r="S79" s="925"/>
      <c r="T79" s="925"/>
      <c r="U79" s="925"/>
      <c r="V79" s="925"/>
      <c r="W79" s="925">
        <v>7</v>
      </c>
      <c r="X79" s="1052" t="str">
        <f>'Cálc. Sist. Extinção Automática'!B31</f>
        <v/>
      </c>
      <c r="Y79" s="1052" t="str">
        <f>'Cálc. Sist. Extinção Automática'!D31</f>
        <v/>
      </c>
      <c r="Z79" s="1052" t="str">
        <f t="shared" si="9"/>
        <v/>
      </c>
      <c r="AA79" s="1063" t="str">
        <f>IF('Cálc. Sist. Extinção Automática'!F31&lt;&gt;"",'Cálc. Sist. Extinção Automática'!F31,"")</f>
        <v/>
      </c>
      <c r="AB79" s="1063" t="str">
        <f>IF('Cálc. Sist. Extinção Automática'!G31&lt;&gt;"",'Cálc. Sist. Extinção Automática'!G31,"")</f>
        <v/>
      </c>
      <c r="AC79" s="1064" t="str">
        <f>IF('Cálc. Sist. Extinção Automática'!H31&lt;&gt;"",'Cálc. Sist. Extinção Automática'!H31,"")</f>
        <v/>
      </c>
      <c r="AD79" s="940" t="str">
        <f>IF(Z79="","",IF(25-COUNTBLANK('Cálc. Sist. Extinção Automática'!DT31:'Cálc. Sist. Extinção Automática'!ER31)=0,"",25-COUNTBLANK('Cálc. Sist. Extinção Automática'!DT31:'Cálc. Sist. Extinção Automática'!ER31)))</f>
        <v/>
      </c>
      <c r="AE79" s="940" t="str">
        <f>IF(25-COUNTBLANK('Cálc. Sist. Extinção Automática'!DT31:'Cálc. Sist. Extinção Automática'!ER31)=0,"",25-COUNTBLANK('Cálc. Sist. Extinção Automática'!DT31:'Cálc. Sist. Extinção Automática'!ER31))</f>
        <v/>
      </c>
      <c r="AF79" s="940" t="str">
        <f t="shared" si="10"/>
        <v/>
      </c>
      <c r="AG79" s="1492" t="str">
        <f>IF(OR(AND(X79="c",Y79="s"),AND(X79="c",AF79=1),AND(X79="c",AC79&lt;$AC$72)),'Cálc. Sist. Extinção Automática'!AH31,"")</f>
        <v/>
      </c>
      <c r="AH79" s="1058" t="str">
        <f>IF(AG79="","",'Cálc. Sist. Extinção Automática'!AF31)</f>
        <v/>
      </c>
      <c r="AI79" s="1058" t="str">
        <f t="shared" si="11"/>
        <v/>
      </c>
      <c r="AK79" s="1084" t="str">
        <f>IF(OR($C$58,AG79=""),"",'Curvas da Instalação'!$D$22)</f>
        <v/>
      </c>
      <c r="AL79" s="1086" t="str">
        <f>IF(AK79="","",'Cálc. Sist. Extinção Automática'!M31)</f>
        <v/>
      </c>
      <c r="AM79" s="1085" t="str">
        <f>IF(AK79="","",'Cálc. Sist. Extinção Automática'!W31)</f>
        <v/>
      </c>
      <c r="AN79" s="1086" t="str">
        <f>IF(AK79="","",(66.7*AK79/'Cálc. Sist. Extinção Automática'!$B$17)/(PI()*AM79^2))</f>
        <v/>
      </c>
      <c r="AO79" s="136" t="str">
        <f t="shared" si="12"/>
        <v/>
      </c>
      <c r="AP79" s="136" t="str">
        <f>IF(AK79="","",IF('Cálc. Sist. Extinção Automática'!$M$15="",'Cálc. Sist. Extinção Automática'!$B$18*'Cálc. Sist. Extinção Automática'!$AU$19*AL79*61.7*100000*((AK79/'Cálc. Sist. Extinção Automática'!$B$17)^1.85/('Cálc. Sist. Extinção Automática'!$P$16^1.85*AM79^4.87)),'Cálc. Sist. Extinção Automática'!$B$18*'Cálc. Sist. Extinção Automática'!$AU$19*AL79*((4*'Cálc. Sist. Extinção Automática'!$P$16*((AN79^7)/(AM79/1000))^(1/4))/(AM79/1000))))</f>
        <v/>
      </c>
    </row>
    <row r="80" spans="1:44" ht="13.3" thickTop="1" thickBot="1" x14ac:dyDescent="0.35">
      <c r="A80" s="925"/>
      <c r="B80" s="925"/>
      <c r="C80" s="925"/>
      <c r="D80" s="940"/>
      <c r="E80" s="925"/>
      <c r="F80" s="925"/>
      <c r="G80" s="925"/>
      <c r="H80" s="925"/>
      <c r="I80" s="925"/>
      <c r="J80" s="925"/>
      <c r="K80" s="925"/>
      <c r="L80" s="925"/>
      <c r="M80" s="925"/>
      <c r="N80" s="925"/>
      <c r="O80" s="925"/>
      <c r="P80" s="925"/>
      <c r="Q80" s="925"/>
      <c r="R80" s="925"/>
      <c r="S80" s="925"/>
      <c r="T80" s="925"/>
      <c r="U80" s="925"/>
      <c r="V80" s="925"/>
      <c r="W80" s="925">
        <v>8</v>
      </c>
      <c r="X80" s="1052" t="str">
        <f>'Cálc. Sist. Extinção Automática'!B32</f>
        <v/>
      </c>
      <c r="Y80" s="1052" t="str">
        <f>'Cálc. Sist. Extinção Automática'!D32</f>
        <v/>
      </c>
      <c r="Z80" s="1052" t="str">
        <f t="shared" si="9"/>
        <v/>
      </c>
      <c r="AA80" s="1063" t="str">
        <f>IF('Cálc. Sist. Extinção Automática'!F32&lt;&gt;"",'Cálc. Sist. Extinção Automática'!F32,"")</f>
        <v/>
      </c>
      <c r="AB80" s="1063" t="str">
        <f>IF('Cálc. Sist. Extinção Automática'!G32&lt;&gt;"",'Cálc. Sist. Extinção Automática'!G32,"")</f>
        <v/>
      </c>
      <c r="AC80" s="1064" t="str">
        <f>IF('Cálc. Sist. Extinção Automática'!H32&lt;&gt;"",'Cálc. Sist. Extinção Automática'!H32,"")</f>
        <v/>
      </c>
      <c r="AD80" s="940" t="str">
        <f>IF(Z80="","",IF(25-COUNTBLANK('Cálc. Sist. Extinção Automática'!DT32:'Cálc. Sist. Extinção Automática'!ER32)=0,"",25-COUNTBLANK('Cálc. Sist. Extinção Automática'!DT32:'Cálc. Sist. Extinção Automática'!ER32)))</f>
        <v/>
      </c>
      <c r="AE80" s="940" t="str">
        <f>IF(25-COUNTBLANK('Cálc. Sist. Extinção Automática'!DT32:'Cálc. Sist. Extinção Automática'!ER32)=0,"",25-COUNTBLANK('Cálc. Sist. Extinção Automática'!DT32:'Cálc. Sist. Extinção Automática'!ER32))</f>
        <v/>
      </c>
      <c r="AF80" s="940" t="str">
        <f t="shared" si="10"/>
        <v/>
      </c>
      <c r="AG80" s="1492" t="str">
        <f>IF(OR(AND(X80="c",Y80="s"),AND(X80="c",AF80=1),AND(X80="c",AC80&lt;$AC$72)),'Cálc. Sist. Extinção Automática'!AH32,"")</f>
        <v/>
      </c>
      <c r="AH80" s="1058" t="str">
        <f>IF(AG80="","",'Cálc. Sist. Extinção Automática'!AF32)</f>
        <v/>
      </c>
      <c r="AI80" s="1058" t="str">
        <f t="shared" si="11"/>
        <v/>
      </c>
      <c r="AK80" s="1084" t="str">
        <f>IF(OR($C$58,AG80=""),"",'Curvas da Instalação'!$D$22)</f>
        <v/>
      </c>
      <c r="AL80" s="1086" t="str">
        <f>IF(AK80="","",'Cálc. Sist. Extinção Automática'!M32)</f>
        <v/>
      </c>
      <c r="AM80" s="1085" t="str">
        <f>IF(AK80="","",'Cálc. Sist. Extinção Automática'!W32)</f>
        <v/>
      </c>
      <c r="AN80" s="1086" t="str">
        <f>IF(AK80="","",(66.7*AK80/'Cálc. Sist. Extinção Automática'!$B$17)/(PI()*AM80^2))</f>
        <v/>
      </c>
      <c r="AO80" s="136" t="str">
        <f t="shared" si="12"/>
        <v/>
      </c>
      <c r="AP80" s="136" t="str">
        <f>IF(AK80="","",IF('Cálc. Sist. Extinção Automática'!$M$15="",'Cálc. Sist. Extinção Automática'!$B$18*'Cálc. Sist. Extinção Automática'!$AU$19*AL80*61.7*100000*((AK80/'Cálc. Sist. Extinção Automática'!$B$17)^1.85/('Cálc. Sist. Extinção Automática'!$P$16^1.85*AM80^4.87)),'Cálc. Sist. Extinção Automática'!$B$18*'Cálc. Sist. Extinção Automática'!$AU$19*AL80*((4*'Cálc. Sist. Extinção Automática'!$P$16*((AN80^7)/(AM80/1000))^(1/4))/(AM80/1000))))</f>
        <v/>
      </c>
    </row>
    <row r="81" spans="1:42" ht="13.3" thickTop="1" thickBot="1" x14ac:dyDescent="0.35">
      <c r="A81" s="925"/>
      <c r="B81" s="925"/>
      <c r="C81" s="925"/>
      <c r="D81" s="940"/>
      <c r="E81" s="925"/>
      <c r="F81" s="925"/>
      <c r="G81" s="925"/>
      <c r="H81" s="925"/>
      <c r="I81" s="925"/>
      <c r="J81" s="925"/>
      <c r="K81" s="925"/>
      <c r="L81" s="925"/>
      <c r="M81" s="925"/>
      <c r="N81" s="925"/>
      <c r="O81" s="925"/>
      <c r="P81" s="925"/>
      <c r="Q81" s="925"/>
      <c r="R81" s="925"/>
      <c r="S81" s="925"/>
      <c r="T81" s="925"/>
      <c r="U81" s="925"/>
      <c r="V81" s="925"/>
      <c r="W81" s="925">
        <v>9</v>
      </c>
      <c r="X81" s="1052" t="str">
        <f>'Cálc. Sist. Extinção Automática'!B33</f>
        <v/>
      </c>
      <c r="Y81" s="1052" t="str">
        <f>'Cálc. Sist. Extinção Automática'!D33</f>
        <v/>
      </c>
      <c r="Z81" s="1052" t="str">
        <f t="shared" si="9"/>
        <v/>
      </c>
      <c r="AA81" s="1063" t="str">
        <f>IF('Cálc. Sist. Extinção Automática'!F33&lt;&gt;"",'Cálc. Sist. Extinção Automática'!F33,"")</f>
        <v/>
      </c>
      <c r="AB81" s="1063" t="str">
        <f>IF('Cálc. Sist. Extinção Automática'!G33&lt;&gt;"",'Cálc. Sist. Extinção Automática'!G33,"")</f>
        <v/>
      </c>
      <c r="AC81" s="1064" t="str">
        <f>IF('Cálc. Sist. Extinção Automática'!H33&lt;&gt;"",'Cálc. Sist. Extinção Automática'!H33,"")</f>
        <v/>
      </c>
      <c r="AD81" s="940" t="str">
        <f>IF(Z81="","",IF(25-COUNTBLANK('Cálc. Sist. Extinção Automática'!DT33:'Cálc. Sist. Extinção Automática'!ER33)=0,"",25-COUNTBLANK('Cálc. Sist. Extinção Automática'!DT33:'Cálc. Sist. Extinção Automática'!ER33)))</f>
        <v/>
      </c>
      <c r="AE81" s="940" t="str">
        <f>IF(25-COUNTBLANK('Cálc. Sist. Extinção Automática'!DT33:'Cálc. Sist. Extinção Automática'!ER33)=0,"",25-COUNTBLANK('Cálc. Sist. Extinção Automática'!DT33:'Cálc. Sist. Extinção Automática'!ER33))</f>
        <v/>
      </c>
      <c r="AF81" s="940" t="str">
        <f t="shared" si="10"/>
        <v/>
      </c>
      <c r="AG81" s="1492" t="str">
        <f>IF(OR(AND(X81="c",Y81="s"),AND(X81="c",AF81=1),AND(X81="c",AC81&lt;$AC$72)),'Cálc. Sist. Extinção Automática'!AH33,"")</f>
        <v/>
      </c>
      <c r="AH81" s="1058" t="str">
        <f>IF(AG81="","",'Cálc. Sist. Extinção Automática'!AF33)</f>
        <v/>
      </c>
      <c r="AI81" s="1058" t="str">
        <f t="shared" si="11"/>
        <v/>
      </c>
      <c r="AK81" s="1084" t="str">
        <f>IF(OR($C$58,AG81=""),"",'Curvas da Instalação'!$D$22)</f>
        <v/>
      </c>
      <c r="AL81" s="1086" t="str">
        <f>IF(AK81="","",'Cálc. Sist. Extinção Automática'!M33)</f>
        <v/>
      </c>
      <c r="AM81" s="1085" t="str">
        <f>IF(AK81="","",'Cálc. Sist. Extinção Automática'!W33)</f>
        <v/>
      </c>
      <c r="AN81" s="1086" t="str">
        <f>IF(AK81="","",(66.7*AK81/'Cálc. Sist. Extinção Automática'!$B$17)/(PI()*AM81^2))</f>
        <v/>
      </c>
      <c r="AO81" s="136" t="str">
        <f t="shared" si="12"/>
        <v/>
      </c>
      <c r="AP81" s="136" t="str">
        <f>IF(AK81="","",IF('Cálc. Sist. Extinção Automática'!$M$15="",'Cálc. Sist. Extinção Automática'!$B$18*'Cálc. Sist. Extinção Automática'!$AU$19*AL81*61.7*100000*((AK81/'Cálc. Sist. Extinção Automática'!$B$17)^1.85/('Cálc. Sist. Extinção Automática'!$P$16^1.85*AM81^4.87)),'Cálc. Sist. Extinção Automática'!$B$18*'Cálc. Sist. Extinção Automática'!$AU$19*AL81*((4*'Cálc. Sist. Extinção Automática'!$P$16*((AN81^7)/(AM81/1000))^(1/4))/(AM81/1000))))</f>
        <v/>
      </c>
    </row>
    <row r="82" spans="1:42" ht="13.3" thickTop="1" thickBot="1" x14ac:dyDescent="0.35">
      <c r="A82" s="925"/>
      <c r="B82" s="925"/>
      <c r="C82" s="925"/>
      <c r="D82" s="940"/>
      <c r="E82" s="925"/>
      <c r="F82" s="925"/>
      <c r="G82" s="925"/>
      <c r="H82" s="925"/>
      <c r="I82" s="925"/>
      <c r="J82" s="925"/>
      <c r="K82" s="925"/>
      <c r="L82" s="925"/>
      <c r="M82" s="925"/>
      <c r="N82" s="925"/>
      <c r="O82" s="925"/>
      <c r="P82" s="925"/>
      <c r="Q82" s="925"/>
      <c r="R82" s="925"/>
      <c r="S82" s="925"/>
      <c r="T82" s="925"/>
      <c r="U82" s="925"/>
      <c r="V82" s="925"/>
      <c r="W82" s="925">
        <v>10</v>
      </c>
      <c r="X82" s="1052" t="str">
        <f>'Cálc. Sist. Extinção Automática'!B34</f>
        <v/>
      </c>
      <c r="Y82" s="1052" t="str">
        <f>'Cálc. Sist. Extinção Automática'!D34</f>
        <v/>
      </c>
      <c r="Z82" s="1052" t="str">
        <f t="shared" si="9"/>
        <v/>
      </c>
      <c r="AA82" s="1063" t="str">
        <f>IF('Cálc. Sist. Extinção Automática'!F34&lt;&gt;"",'Cálc. Sist. Extinção Automática'!F34,"")</f>
        <v/>
      </c>
      <c r="AB82" s="1063" t="str">
        <f>IF('Cálc. Sist. Extinção Automática'!G34&lt;&gt;"",'Cálc. Sist. Extinção Automática'!G34,"")</f>
        <v/>
      </c>
      <c r="AC82" s="1064" t="str">
        <f>IF('Cálc. Sist. Extinção Automática'!H34&lt;&gt;"",'Cálc. Sist. Extinção Automática'!H34,"")</f>
        <v/>
      </c>
      <c r="AD82" s="940" t="str">
        <f>IF(Z82="","",IF(25-COUNTBLANK('Cálc. Sist. Extinção Automática'!DT34:'Cálc. Sist. Extinção Automática'!ER34)=0,"",25-COUNTBLANK('Cálc. Sist. Extinção Automática'!DT34:'Cálc. Sist. Extinção Automática'!ER34)))</f>
        <v/>
      </c>
      <c r="AE82" s="940" t="str">
        <f>IF(25-COUNTBLANK('Cálc. Sist. Extinção Automática'!DT34:'Cálc. Sist. Extinção Automática'!ER34)=0,"",25-COUNTBLANK('Cálc. Sist. Extinção Automática'!DT34:'Cálc. Sist. Extinção Automática'!ER34))</f>
        <v/>
      </c>
      <c r="AF82" s="940" t="str">
        <f t="shared" si="10"/>
        <v/>
      </c>
      <c r="AG82" s="1492" t="str">
        <f>IF(OR(AND(X82="c",Y82="s"),AND(X82="c",AF82=1),AND(X82="c",AC82&lt;$AC$72)),'Cálc. Sist. Extinção Automática'!AH34,"")</f>
        <v/>
      </c>
      <c r="AH82" s="1058" t="str">
        <f>IF(AG82="","",'Cálc. Sist. Extinção Automática'!AF34)</f>
        <v/>
      </c>
      <c r="AI82" s="1058" t="str">
        <f t="shared" si="11"/>
        <v/>
      </c>
      <c r="AK82" s="1084" t="str">
        <f>IF(OR($C$58,AG82=""),"",'Curvas da Instalação'!$D$22)</f>
        <v/>
      </c>
      <c r="AL82" s="1086" t="str">
        <f>IF(AK82="","",'Cálc. Sist. Extinção Automática'!M34)</f>
        <v/>
      </c>
      <c r="AM82" s="1085" t="str">
        <f>IF(AK82="","",'Cálc. Sist. Extinção Automática'!W34)</f>
        <v/>
      </c>
      <c r="AN82" s="1086" t="str">
        <f>IF(AK82="","",(66.7*AK82/'Cálc. Sist. Extinção Automática'!$B$17)/(PI()*AM82^2))</f>
        <v/>
      </c>
      <c r="AO82" s="136" t="str">
        <f t="shared" si="12"/>
        <v/>
      </c>
      <c r="AP82" s="136" t="str">
        <f>IF(AK82="","",IF('Cálc. Sist. Extinção Automática'!$M$15="",'Cálc. Sist. Extinção Automática'!$B$18*'Cálc. Sist. Extinção Automática'!$AU$19*AL82*61.7*100000*((AK82/'Cálc. Sist. Extinção Automática'!$B$17)^1.85/('Cálc. Sist. Extinção Automática'!$P$16^1.85*AM82^4.87)),'Cálc. Sist. Extinção Automática'!$B$18*'Cálc. Sist. Extinção Automática'!$AU$19*AL82*((4*'Cálc. Sist. Extinção Automática'!$P$16*((AN82^7)/(AM82/1000))^(1/4))/(AM82/1000))))</f>
        <v/>
      </c>
    </row>
    <row r="83" spans="1:42" ht="13.3" thickTop="1" thickBot="1" x14ac:dyDescent="0.35">
      <c r="A83" s="925"/>
      <c r="B83" s="925"/>
      <c r="C83" s="925"/>
      <c r="D83" s="940"/>
      <c r="E83" s="925"/>
      <c r="F83" s="925"/>
      <c r="G83" s="925"/>
      <c r="H83" s="925"/>
      <c r="I83" s="925"/>
      <c r="J83" s="925"/>
      <c r="K83" s="925"/>
      <c r="L83" s="925"/>
      <c r="M83" s="925"/>
      <c r="N83" s="925"/>
      <c r="O83" s="925"/>
      <c r="P83" s="925"/>
      <c r="Q83" s="925"/>
      <c r="R83" s="925"/>
      <c r="S83" s="925"/>
      <c r="T83" s="925"/>
      <c r="U83" s="925"/>
      <c r="V83" s="925"/>
      <c r="W83" s="925">
        <v>11</v>
      </c>
      <c r="X83" s="1052" t="str">
        <f>'Cálc. Sist. Extinção Automática'!B35</f>
        <v/>
      </c>
      <c r="Y83" s="1052" t="str">
        <f>'Cálc. Sist. Extinção Automática'!D35</f>
        <v/>
      </c>
      <c r="Z83" s="1052" t="str">
        <f t="shared" si="9"/>
        <v/>
      </c>
      <c r="AA83" s="1063" t="str">
        <f>IF('Cálc. Sist. Extinção Automática'!F35&lt;&gt;"",'Cálc. Sist. Extinção Automática'!F35,"")</f>
        <v/>
      </c>
      <c r="AB83" s="1063" t="str">
        <f>IF('Cálc. Sist. Extinção Automática'!G35&lt;&gt;"",'Cálc. Sist. Extinção Automática'!G35,"")</f>
        <v/>
      </c>
      <c r="AC83" s="1064" t="str">
        <f>IF('Cálc. Sist. Extinção Automática'!H35&lt;&gt;"",'Cálc. Sist. Extinção Automática'!H35,"")</f>
        <v/>
      </c>
      <c r="AD83" s="940" t="str">
        <f>IF(Z83="","",IF(25-COUNTBLANK('Cálc. Sist. Extinção Automática'!DT35:'Cálc. Sist. Extinção Automática'!ER35)=0,"",25-COUNTBLANK('Cálc. Sist. Extinção Automática'!DT35:'Cálc. Sist. Extinção Automática'!ER35)))</f>
        <v/>
      </c>
      <c r="AE83" s="940" t="str">
        <f>IF(25-COUNTBLANK('Cálc. Sist. Extinção Automática'!DT35:'Cálc. Sist. Extinção Automática'!ER35)=0,"",25-COUNTBLANK('Cálc. Sist. Extinção Automática'!DT35:'Cálc. Sist. Extinção Automática'!ER35))</f>
        <v/>
      </c>
      <c r="AF83" s="940" t="str">
        <f t="shared" si="10"/>
        <v/>
      </c>
      <c r="AG83" s="1492" t="str">
        <f>IF(OR(AND(X83="c",Y83="s"),AND(X83="c",AF83=1),AND(X83="c",AC83&lt;$AC$72)),'Cálc. Sist. Extinção Automática'!AH35,"")</f>
        <v/>
      </c>
      <c r="AH83" s="1058" t="str">
        <f>IF(AG83="","",'Cálc. Sist. Extinção Automática'!AF35)</f>
        <v/>
      </c>
      <c r="AI83" s="1058" t="str">
        <f t="shared" si="11"/>
        <v/>
      </c>
      <c r="AK83" s="1084" t="str">
        <f>IF(OR($C$58,AG83=""),"",'Curvas da Instalação'!$D$22)</f>
        <v/>
      </c>
      <c r="AL83" s="1086" t="str">
        <f>IF(AK83="","",'Cálc. Sist. Extinção Automática'!M35)</f>
        <v/>
      </c>
      <c r="AM83" s="1085" t="str">
        <f>IF(AK83="","",'Cálc. Sist. Extinção Automática'!W35)</f>
        <v/>
      </c>
      <c r="AN83" s="1086" t="str">
        <f>IF(AK83="","",(66.7*AK83/'Cálc. Sist. Extinção Automática'!$B$17)/(PI()*AM83^2))</f>
        <v/>
      </c>
      <c r="AO83" s="136" t="str">
        <f t="shared" si="12"/>
        <v/>
      </c>
      <c r="AP83" s="136" t="str">
        <f>IF(AK83="","",IF('Cálc. Sist. Extinção Automática'!$M$15="",'Cálc. Sist. Extinção Automática'!$B$18*'Cálc. Sist. Extinção Automática'!$AU$19*AL83*61.7*100000*((AK83/'Cálc. Sist. Extinção Automática'!$B$17)^1.85/('Cálc. Sist. Extinção Automática'!$P$16^1.85*AM83^4.87)),'Cálc. Sist. Extinção Automática'!$B$18*'Cálc. Sist. Extinção Automática'!$AU$19*AL83*((4*'Cálc. Sist. Extinção Automática'!$P$16*((AN83^7)/(AM83/1000))^(1/4))/(AM83/1000))))</f>
        <v/>
      </c>
    </row>
    <row r="84" spans="1:42" ht="13.3" thickTop="1" thickBot="1" x14ac:dyDescent="0.35">
      <c r="A84" s="925"/>
      <c r="B84" s="925"/>
      <c r="C84" s="925"/>
      <c r="D84" s="940"/>
      <c r="E84" s="925"/>
      <c r="F84" s="925"/>
      <c r="G84" s="925"/>
      <c r="H84" s="925"/>
      <c r="I84" s="925"/>
      <c r="J84" s="925"/>
      <c r="K84" s="925"/>
      <c r="L84" s="925"/>
      <c r="M84" s="925"/>
      <c r="N84" s="925"/>
      <c r="O84" s="925"/>
      <c r="P84" s="925"/>
      <c r="Q84" s="925"/>
      <c r="R84" s="925"/>
      <c r="S84" s="925"/>
      <c r="T84" s="925"/>
      <c r="U84" s="925"/>
      <c r="V84" s="925"/>
      <c r="W84" s="925">
        <v>12</v>
      </c>
      <c r="X84" s="1052" t="str">
        <f>'Cálc. Sist. Extinção Automática'!B36</f>
        <v/>
      </c>
      <c r="Y84" s="1052" t="str">
        <f>'Cálc. Sist. Extinção Automática'!D36</f>
        <v/>
      </c>
      <c r="Z84" s="1052" t="str">
        <f t="shared" si="9"/>
        <v/>
      </c>
      <c r="AA84" s="1063" t="str">
        <f>IF('Cálc. Sist. Extinção Automática'!F36&lt;&gt;"",'Cálc. Sist. Extinção Automática'!F36,"")</f>
        <v/>
      </c>
      <c r="AB84" s="1063" t="str">
        <f>IF('Cálc. Sist. Extinção Automática'!G36&lt;&gt;"",'Cálc. Sist. Extinção Automática'!G36,"")</f>
        <v/>
      </c>
      <c r="AC84" s="1064" t="str">
        <f>IF('Cálc. Sist. Extinção Automática'!H36&lt;&gt;"",'Cálc. Sist. Extinção Automática'!H36,"")</f>
        <v/>
      </c>
      <c r="AD84" s="940" t="str">
        <f>IF(Z84="","",IF(25-COUNTBLANK('Cálc. Sist. Extinção Automática'!DT36:'Cálc. Sist. Extinção Automática'!ER36)=0,"",25-COUNTBLANK('Cálc. Sist. Extinção Automática'!DT36:'Cálc. Sist. Extinção Automática'!ER36)))</f>
        <v/>
      </c>
      <c r="AE84" s="940" t="str">
        <f>IF(25-COUNTBLANK('Cálc. Sist. Extinção Automática'!DT36:'Cálc. Sist. Extinção Automática'!ER36)=0,"",25-COUNTBLANK('Cálc. Sist. Extinção Automática'!DT36:'Cálc. Sist. Extinção Automática'!ER36))</f>
        <v/>
      </c>
      <c r="AF84" s="940" t="str">
        <f t="shared" si="10"/>
        <v/>
      </c>
      <c r="AG84" s="1492" t="str">
        <f>IF(OR(AND(X84="c",Y84="s"),AND(X84="c",AF84=1),AND(X84="c",AC84&lt;$AC$72)),'Cálc. Sist. Extinção Automática'!AH36,"")</f>
        <v/>
      </c>
      <c r="AH84" s="1058" t="str">
        <f>IF(AG84="","",'Cálc. Sist. Extinção Automática'!AF36)</f>
        <v/>
      </c>
      <c r="AI84" s="1058" t="str">
        <f t="shared" si="11"/>
        <v/>
      </c>
      <c r="AK84" s="1084" t="str">
        <f>IF(OR($C$58,AG84=""),"",'Curvas da Instalação'!$D$22)</f>
        <v/>
      </c>
      <c r="AL84" s="1086" t="str">
        <f>IF(AK84="","",'Cálc. Sist. Extinção Automática'!M36)</f>
        <v/>
      </c>
      <c r="AM84" s="1085" t="str">
        <f>IF(AK84="","",'Cálc. Sist. Extinção Automática'!W36)</f>
        <v/>
      </c>
      <c r="AN84" s="1086" t="str">
        <f>IF(AK84="","",(66.7*AK84/'Cálc. Sist. Extinção Automática'!$B$17)/(PI()*AM84^2))</f>
        <v/>
      </c>
      <c r="AO84" s="136" t="str">
        <f t="shared" si="12"/>
        <v/>
      </c>
      <c r="AP84" s="136" t="str">
        <f>IF(AK84="","",IF('Cálc. Sist. Extinção Automática'!$M$15="",'Cálc. Sist. Extinção Automática'!$B$18*'Cálc. Sist. Extinção Automática'!$AU$19*AL84*61.7*100000*((AK84/'Cálc. Sist. Extinção Automática'!$B$17)^1.85/('Cálc. Sist. Extinção Automática'!$P$16^1.85*AM84^4.87)),'Cálc. Sist. Extinção Automática'!$B$18*'Cálc. Sist. Extinção Automática'!$AU$19*AL84*((4*'Cálc. Sist. Extinção Automática'!$P$16*((AN84^7)/(AM84/1000))^(1/4))/(AM84/1000))))</f>
        <v/>
      </c>
    </row>
    <row r="85" spans="1:42" ht="13.3" thickTop="1" thickBot="1" x14ac:dyDescent="0.35">
      <c r="A85" s="925"/>
      <c r="B85" s="925"/>
      <c r="C85" s="925"/>
      <c r="D85" s="940"/>
      <c r="E85" s="925"/>
      <c r="F85" s="925"/>
      <c r="G85" s="925"/>
      <c r="H85" s="925"/>
      <c r="I85" s="925"/>
      <c r="J85" s="925"/>
      <c r="K85" s="925"/>
      <c r="L85" s="925"/>
      <c r="M85" s="925"/>
      <c r="N85" s="925"/>
      <c r="O85" s="925"/>
      <c r="P85" s="925"/>
      <c r="Q85" s="925"/>
      <c r="R85" s="925"/>
      <c r="S85" s="925"/>
      <c r="T85" s="925"/>
      <c r="U85" s="925"/>
      <c r="V85" s="925"/>
      <c r="W85" s="925">
        <v>13</v>
      </c>
      <c r="X85" s="1052" t="str">
        <f>'Cálc. Sist. Extinção Automática'!B37</f>
        <v/>
      </c>
      <c r="Y85" s="1052" t="str">
        <f>'Cálc. Sist. Extinção Automática'!D37</f>
        <v/>
      </c>
      <c r="Z85" s="1052" t="str">
        <f t="shared" si="9"/>
        <v/>
      </c>
      <c r="AA85" s="1063" t="str">
        <f>IF('Cálc. Sist. Extinção Automática'!F37&lt;&gt;"",'Cálc. Sist. Extinção Automática'!F37,"")</f>
        <v/>
      </c>
      <c r="AB85" s="1063" t="str">
        <f>IF('Cálc. Sist. Extinção Automática'!G37&lt;&gt;"",'Cálc. Sist. Extinção Automática'!G37,"")</f>
        <v/>
      </c>
      <c r="AC85" s="1064" t="str">
        <f>IF('Cálc. Sist. Extinção Automática'!H37&lt;&gt;"",'Cálc. Sist. Extinção Automática'!H37,"")</f>
        <v/>
      </c>
      <c r="AD85" s="940" t="str">
        <f>IF(Z85="","",IF(25-COUNTBLANK('Cálc. Sist. Extinção Automática'!DT37:'Cálc. Sist. Extinção Automática'!ER37)=0,"",25-COUNTBLANK('Cálc. Sist. Extinção Automática'!DT37:'Cálc. Sist. Extinção Automática'!ER37)))</f>
        <v/>
      </c>
      <c r="AE85" s="940" t="str">
        <f>IF(25-COUNTBLANK('Cálc. Sist. Extinção Automática'!DT37:'Cálc. Sist. Extinção Automática'!ER37)=0,"",25-COUNTBLANK('Cálc. Sist. Extinção Automática'!DT37:'Cálc. Sist. Extinção Automática'!ER37))</f>
        <v/>
      </c>
      <c r="AF85" s="940" t="str">
        <f t="shared" si="10"/>
        <v/>
      </c>
      <c r="AG85" s="1492" t="str">
        <f>IF(OR(AND(X85="c",Y85="s"),AND(X85="c",AF85=1),AND(X85="c",AC85&lt;$AC$72)),'Cálc. Sist. Extinção Automática'!AH37,"")</f>
        <v/>
      </c>
      <c r="AH85" s="1058" t="str">
        <f>IF(AG85="","",'Cálc. Sist. Extinção Automática'!AF37)</f>
        <v/>
      </c>
      <c r="AI85" s="1058" t="str">
        <f t="shared" si="11"/>
        <v/>
      </c>
      <c r="AK85" s="1084" t="str">
        <f>IF(OR($C$58,AG85=""),"",'Curvas da Instalação'!$D$22)</f>
        <v/>
      </c>
      <c r="AL85" s="1086" t="str">
        <f>IF(AK85="","",'Cálc. Sist. Extinção Automática'!M37)</f>
        <v/>
      </c>
      <c r="AM85" s="1085" t="str">
        <f>IF(AK85="","",'Cálc. Sist. Extinção Automática'!W37)</f>
        <v/>
      </c>
      <c r="AN85" s="1086" t="str">
        <f>IF(AK85="","",(66.7*AK85/'Cálc. Sist. Extinção Automática'!$B$17)/(PI()*AM85^2))</f>
        <v/>
      </c>
      <c r="AO85" s="136" t="str">
        <f t="shared" si="12"/>
        <v/>
      </c>
      <c r="AP85" s="136" t="str">
        <f>IF(AK85="","",IF('Cálc. Sist. Extinção Automática'!$M$15="",'Cálc. Sist. Extinção Automática'!$B$18*'Cálc. Sist. Extinção Automática'!$AU$19*AL85*61.7*100000*((AK85/'Cálc. Sist. Extinção Automática'!$B$17)^1.85/('Cálc. Sist. Extinção Automática'!$P$16^1.85*AM85^4.87)),'Cálc. Sist. Extinção Automática'!$B$18*'Cálc. Sist. Extinção Automática'!$AU$19*AL85*((4*'Cálc. Sist. Extinção Automática'!$P$16*((AN85^7)/(AM85/1000))^(1/4))/(AM85/1000))))</f>
        <v/>
      </c>
    </row>
    <row r="86" spans="1:42" ht="13.3" thickTop="1" thickBot="1" x14ac:dyDescent="0.35">
      <c r="A86" s="925"/>
      <c r="B86" s="925"/>
      <c r="C86" s="925"/>
      <c r="D86" s="940"/>
      <c r="E86" s="925"/>
      <c r="F86" s="925"/>
      <c r="G86" s="925"/>
      <c r="H86" s="925"/>
      <c r="I86" s="925"/>
      <c r="J86" s="925"/>
      <c r="K86" s="925"/>
      <c r="L86" s="925"/>
      <c r="M86" s="925"/>
      <c r="N86" s="925"/>
      <c r="O86" s="925"/>
      <c r="P86" s="925"/>
      <c r="Q86" s="925"/>
      <c r="R86" s="925"/>
      <c r="S86" s="925"/>
      <c r="T86" s="925"/>
      <c r="U86" s="925"/>
      <c r="V86" s="925"/>
      <c r="W86" s="925">
        <v>14</v>
      </c>
      <c r="X86" s="1052" t="str">
        <f>'Cálc. Sist. Extinção Automática'!B38</f>
        <v/>
      </c>
      <c r="Y86" s="1052" t="str">
        <f>'Cálc. Sist. Extinção Automática'!D38</f>
        <v/>
      </c>
      <c r="Z86" s="1052" t="str">
        <f t="shared" si="9"/>
        <v/>
      </c>
      <c r="AA86" s="1063" t="str">
        <f>IF('Cálc. Sist. Extinção Automática'!F38&lt;&gt;"",'Cálc. Sist. Extinção Automática'!F38,"")</f>
        <v/>
      </c>
      <c r="AB86" s="1063" t="str">
        <f>IF('Cálc. Sist. Extinção Automática'!G38&lt;&gt;"",'Cálc. Sist. Extinção Automática'!G38,"")</f>
        <v/>
      </c>
      <c r="AC86" s="1064" t="str">
        <f>IF('Cálc. Sist. Extinção Automática'!H38&lt;&gt;"",'Cálc. Sist. Extinção Automática'!H38,"")</f>
        <v/>
      </c>
      <c r="AD86" s="940" t="str">
        <f>IF(Z86="","",IF(25-COUNTBLANK('Cálc. Sist. Extinção Automática'!DT38:'Cálc. Sist. Extinção Automática'!ER38)=0,"",25-COUNTBLANK('Cálc. Sist. Extinção Automática'!DT38:'Cálc. Sist. Extinção Automática'!ER38)))</f>
        <v/>
      </c>
      <c r="AE86" s="940" t="str">
        <f>IF(25-COUNTBLANK('Cálc. Sist. Extinção Automática'!DT38:'Cálc. Sist. Extinção Automática'!ER38)=0,"",25-COUNTBLANK('Cálc. Sist. Extinção Automática'!DT38:'Cálc. Sist. Extinção Automática'!ER38))</f>
        <v/>
      </c>
      <c r="AF86" s="940" t="str">
        <f t="shared" si="10"/>
        <v/>
      </c>
      <c r="AG86" s="1492" t="str">
        <f>IF(OR(AND(X86="c",Y86="s"),AND(X86="c",AF86=1),AND(X86="c",AC86&lt;$AC$72)),'Cálc. Sist. Extinção Automática'!AH38,"")</f>
        <v/>
      </c>
      <c r="AH86" s="1058" t="str">
        <f>IF(AG86="","",'Cálc. Sist. Extinção Automática'!AF38)</f>
        <v/>
      </c>
      <c r="AI86" s="1058" t="str">
        <f t="shared" si="11"/>
        <v/>
      </c>
      <c r="AK86" s="1084" t="str">
        <f>IF(OR($C$58,AG86=""),"",'Curvas da Instalação'!$D$22)</f>
        <v/>
      </c>
      <c r="AL86" s="1086" t="str">
        <f>IF(AK86="","",'Cálc. Sist. Extinção Automática'!M38)</f>
        <v/>
      </c>
      <c r="AM86" s="1085" t="str">
        <f>IF(AK86="","",'Cálc. Sist. Extinção Automática'!W38)</f>
        <v/>
      </c>
      <c r="AN86" s="1086" t="str">
        <f>IF(AK86="","",(66.7*AK86/'Cálc. Sist. Extinção Automática'!$B$17)/(PI()*AM86^2))</f>
        <v/>
      </c>
      <c r="AO86" s="136" t="str">
        <f t="shared" si="12"/>
        <v/>
      </c>
      <c r="AP86" s="136" t="str">
        <f>IF(AK86="","",IF('Cálc. Sist. Extinção Automática'!$M$15="",'Cálc. Sist. Extinção Automática'!$B$18*'Cálc. Sist. Extinção Automática'!$AU$19*AL86*61.7*100000*((AK86/'Cálc. Sist. Extinção Automática'!$B$17)^1.85/('Cálc. Sist. Extinção Automática'!$P$16^1.85*AM86^4.87)),'Cálc. Sist. Extinção Automática'!$B$18*'Cálc. Sist. Extinção Automática'!$AU$19*AL86*((4*'Cálc. Sist. Extinção Automática'!$P$16*((AN86^7)/(AM86/1000))^(1/4))/(AM86/1000))))</f>
        <v/>
      </c>
    </row>
    <row r="87" spans="1:42" ht="13.3" thickTop="1" thickBot="1" x14ac:dyDescent="0.35">
      <c r="A87" s="925"/>
      <c r="B87" s="925"/>
      <c r="C87" s="925"/>
      <c r="D87" s="940"/>
      <c r="E87" s="925"/>
      <c r="F87" s="925"/>
      <c r="G87" s="925"/>
      <c r="H87" s="925"/>
      <c r="I87" s="925"/>
      <c r="J87" s="925"/>
      <c r="K87" s="925"/>
      <c r="L87" s="925"/>
      <c r="M87" s="925"/>
      <c r="N87" s="925"/>
      <c r="O87" s="925"/>
      <c r="P87" s="925"/>
      <c r="Q87" s="925"/>
      <c r="R87" s="925"/>
      <c r="S87" s="925"/>
      <c r="T87" s="925"/>
      <c r="U87" s="925"/>
      <c r="V87" s="925"/>
      <c r="W87" s="925">
        <v>15</v>
      </c>
      <c r="X87" s="1052" t="str">
        <f>'Cálc. Sist. Extinção Automática'!B39</f>
        <v/>
      </c>
      <c r="Y87" s="1052" t="str">
        <f>'Cálc. Sist. Extinção Automática'!D39</f>
        <v/>
      </c>
      <c r="Z87" s="1052" t="str">
        <f t="shared" si="9"/>
        <v/>
      </c>
      <c r="AA87" s="1063" t="str">
        <f>IF('Cálc. Sist. Extinção Automática'!F39&lt;&gt;"",'Cálc. Sist. Extinção Automática'!F39,"")</f>
        <v/>
      </c>
      <c r="AB87" s="1063" t="str">
        <f>IF('Cálc. Sist. Extinção Automática'!G39&lt;&gt;"",'Cálc. Sist. Extinção Automática'!G39,"")</f>
        <v/>
      </c>
      <c r="AC87" s="1064" t="str">
        <f>IF('Cálc. Sist. Extinção Automática'!H39&lt;&gt;"",'Cálc. Sist. Extinção Automática'!H39,"")</f>
        <v/>
      </c>
      <c r="AD87" s="940" t="str">
        <f>IF(Z87="","",IF(25-COUNTBLANK('Cálc. Sist. Extinção Automática'!DT39:'Cálc. Sist. Extinção Automática'!ER39)=0,"",25-COUNTBLANK('Cálc. Sist. Extinção Automática'!DT39:'Cálc. Sist. Extinção Automática'!ER39)))</f>
        <v/>
      </c>
      <c r="AE87" s="940" t="str">
        <f>IF(25-COUNTBLANK('Cálc. Sist. Extinção Automática'!DT39:'Cálc. Sist. Extinção Automática'!ER39)=0,"",25-COUNTBLANK('Cálc. Sist. Extinção Automática'!DT39:'Cálc. Sist. Extinção Automática'!ER39))</f>
        <v/>
      </c>
      <c r="AF87" s="940" t="str">
        <f t="shared" si="10"/>
        <v/>
      </c>
      <c r="AG87" s="1492" t="str">
        <f>IF(OR(AND(X87="c",Y87="s"),AND(X87="c",AF87=1),AND(X87="c",AC87&lt;$AC$72)),'Cálc. Sist. Extinção Automática'!AH39,"")</f>
        <v/>
      </c>
      <c r="AH87" s="1058" t="str">
        <f>IF(AG87="","",'Cálc. Sist. Extinção Automática'!AF39)</f>
        <v/>
      </c>
      <c r="AI87" s="1058" t="str">
        <f t="shared" si="11"/>
        <v/>
      </c>
      <c r="AK87" s="1084" t="str">
        <f>IF(OR($C$58,AG87=""),"",'Curvas da Instalação'!$D$22)</f>
        <v/>
      </c>
      <c r="AL87" s="1086" t="str">
        <f>IF(AK87="","",'Cálc. Sist. Extinção Automática'!M39)</f>
        <v/>
      </c>
      <c r="AM87" s="1085" t="str">
        <f>IF(AK87="","",'Cálc. Sist. Extinção Automática'!W39)</f>
        <v/>
      </c>
      <c r="AN87" s="1086" t="str">
        <f>IF(AK87="","",(66.7*AK87/'Cálc. Sist. Extinção Automática'!$B$17)/(PI()*AM87^2))</f>
        <v/>
      </c>
      <c r="AO87" s="136" t="str">
        <f t="shared" si="12"/>
        <v/>
      </c>
      <c r="AP87" s="136" t="str">
        <f>IF(AK87="","",IF('Cálc. Sist. Extinção Automática'!$M$15="",'Cálc. Sist. Extinção Automática'!$B$18*'Cálc. Sist. Extinção Automática'!$AU$19*AL87*61.7*100000*((AK87/'Cálc. Sist. Extinção Automática'!$B$17)^1.85/('Cálc. Sist. Extinção Automática'!$P$16^1.85*AM87^4.87)),'Cálc. Sist. Extinção Automática'!$B$18*'Cálc. Sist. Extinção Automática'!$AU$19*AL87*((4*'Cálc. Sist. Extinção Automática'!$P$16*((AN87^7)/(AM87/1000))^(1/4))/(AM87/1000))))</f>
        <v/>
      </c>
    </row>
    <row r="88" spans="1:42" ht="13.3" thickTop="1" thickBot="1" x14ac:dyDescent="0.35">
      <c r="A88" s="925"/>
      <c r="B88" s="925"/>
      <c r="C88" s="925"/>
      <c r="D88" s="940"/>
      <c r="E88" s="925"/>
      <c r="F88" s="925"/>
      <c r="G88" s="925"/>
      <c r="H88" s="925"/>
      <c r="I88" s="925"/>
      <c r="J88" s="925"/>
      <c r="K88" s="925"/>
      <c r="L88" s="925"/>
      <c r="M88" s="925"/>
      <c r="N88" s="925"/>
      <c r="O88" s="925"/>
      <c r="P88" s="925"/>
      <c r="Q88" s="925"/>
      <c r="R88" s="925"/>
      <c r="S88" s="925"/>
      <c r="T88" s="925"/>
      <c r="U88" s="925"/>
      <c r="V88" s="925"/>
      <c r="W88" s="925">
        <v>16</v>
      </c>
      <c r="X88" s="1052" t="str">
        <f>'Cálc. Sist. Extinção Automática'!B40</f>
        <v/>
      </c>
      <c r="Y88" s="1052" t="str">
        <f>'Cálc. Sist. Extinção Automática'!D40</f>
        <v/>
      </c>
      <c r="Z88" s="1052" t="str">
        <f t="shared" si="9"/>
        <v/>
      </c>
      <c r="AA88" s="1063" t="str">
        <f>IF('Cálc. Sist. Extinção Automática'!F40&lt;&gt;"",'Cálc. Sist. Extinção Automática'!F40,"")</f>
        <v/>
      </c>
      <c r="AB88" s="1063" t="str">
        <f>IF('Cálc. Sist. Extinção Automática'!G40&lt;&gt;"",'Cálc. Sist. Extinção Automática'!G40,"")</f>
        <v/>
      </c>
      <c r="AC88" s="1064" t="str">
        <f>IF('Cálc. Sist. Extinção Automática'!H40&lt;&gt;"",'Cálc. Sist. Extinção Automática'!H40,"")</f>
        <v/>
      </c>
      <c r="AD88" s="940" t="str">
        <f>IF(Z88="","",IF(25-COUNTBLANK('Cálc. Sist. Extinção Automática'!DT40:'Cálc. Sist. Extinção Automática'!ER40)=0,"",25-COUNTBLANK('Cálc. Sist. Extinção Automática'!DT40:'Cálc. Sist. Extinção Automática'!ER40)))</f>
        <v/>
      </c>
      <c r="AE88" s="940" t="str">
        <f>IF(25-COUNTBLANK('Cálc. Sist. Extinção Automática'!DT40:'Cálc. Sist. Extinção Automática'!ER40)=0,"",25-COUNTBLANK('Cálc. Sist. Extinção Automática'!DT40:'Cálc. Sist. Extinção Automática'!ER40))</f>
        <v/>
      </c>
      <c r="AF88" s="940" t="str">
        <f t="shared" si="10"/>
        <v/>
      </c>
      <c r="AG88" s="1492" t="str">
        <f>IF(OR(AND(X88="c",Y88="s"),AND(X88="c",AF88=1),AND(X88="c",AC88&lt;$AC$72)),'Cálc. Sist. Extinção Automática'!AH40,"")</f>
        <v/>
      </c>
      <c r="AH88" s="1058" t="str">
        <f>IF(AG88="","",'Cálc. Sist. Extinção Automática'!AF40)</f>
        <v/>
      </c>
      <c r="AI88" s="1058" t="str">
        <f t="shared" si="11"/>
        <v/>
      </c>
      <c r="AK88" s="1084" t="str">
        <f>IF(OR($C$58,AG88=""),"",'Curvas da Instalação'!$D$22)</f>
        <v/>
      </c>
      <c r="AL88" s="1086" t="str">
        <f>IF(AK88="","",'Cálc. Sist. Extinção Automática'!M40)</f>
        <v/>
      </c>
      <c r="AM88" s="1085" t="str">
        <f>IF(AK88="","",'Cálc. Sist. Extinção Automática'!W40)</f>
        <v/>
      </c>
      <c r="AN88" s="1086" t="str">
        <f>IF(AK88="","",(66.7*AK88/'Cálc. Sist. Extinção Automática'!$B$17)/(PI()*AM88^2))</f>
        <v/>
      </c>
      <c r="AO88" s="136" t="str">
        <f t="shared" si="12"/>
        <v/>
      </c>
      <c r="AP88" s="136" t="str">
        <f>IF(AK88="","",IF('Cálc. Sist. Extinção Automática'!$M$15="",'Cálc. Sist. Extinção Automática'!$B$18*'Cálc. Sist. Extinção Automática'!$AU$19*AL88*61.7*100000*((AK88/'Cálc. Sist. Extinção Automática'!$B$17)^1.85/('Cálc. Sist. Extinção Automática'!$P$16^1.85*AM88^4.87)),'Cálc. Sist. Extinção Automática'!$B$18*'Cálc. Sist. Extinção Automática'!$AU$19*AL88*((4*'Cálc. Sist. Extinção Automática'!$P$16*((AN88^7)/(AM88/1000))^(1/4))/(AM88/1000))))</f>
        <v/>
      </c>
    </row>
    <row r="89" spans="1:42" ht="13.3" thickTop="1" thickBot="1" x14ac:dyDescent="0.35">
      <c r="A89" s="925"/>
      <c r="B89" s="925"/>
      <c r="C89" s="925"/>
      <c r="D89" s="940"/>
      <c r="E89" s="925"/>
      <c r="F89" s="925"/>
      <c r="G89" s="925"/>
      <c r="H89" s="925"/>
      <c r="I89" s="925"/>
      <c r="J89" s="925"/>
      <c r="K89" s="925"/>
      <c r="L89" s="925"/>
      <c r="M89" s="925"/>
      <c r="N89" s="925"/>
      <c r="O89" s="925"/>
      <c r="P89" s="925"/>
      <c r="Q89" s="925"/>
      <c r="R89" s="925"/>
      <c r="S89" s="925"/>
      <c r="T89" s="925"/>
      <c r="U89" s="925"/>
      <c r="V89" s="925"/>
      <c r="W89" s="925">
        <v>17</v>
      </c>
      <c r="X89" s="1052" t="str">
        <f>'Cálc. Sist. Extinção Automática'!B41</f>
        <v/>
      </c>
      <c r="Y89" s="1052" t="str">
        <f>'Cálc. Sist. Extinção Automática'!D41</f>
        <v/>
      </c>
      <c r="Z89" s="1052" t="str">
        <f t="shared" si="9"/>
        <v/>
      </c>
      <c r="AA89" s="1063" t="str">
        <f>IF('Cálc. Sist. Extinção Automática'!F41&lt;&gt;"",'Cálc. Sist. Extinção Automática'!F41,"")</f>
        <v/>
      </c>
      <c r="AB89" s="1063" t="str">
        <f>IF('Cálc. Sist. Extinção Automática'!G41&lt;&gt;"",'Cálc. Sist. Extinção Automática'!G41,"")</f>
        <v/>
      </c>
      <c r="AC89" s="1064" t="str">
        <f>IF('Cálc. Sist. Extinção Automática'!H41&lt;&gt;"",'Cálc. Sist. Extinção Automática'!H41,"")</f>
        <v/>
      </c>
      <c r="AD89" s="940" t="str">
        <f>IF(Z89="","",IF(25-COUNTBLANK('Cálc. Sist. Extinção Automática'!DT41:'Cálc. Sist. Extinção Automática'!ER41)=0,"",25-COUNTBLANK('Cálc. Sist. Extinção Automática'!DT41:'Cálc. Sist. Extinção Automática'!ER41)))</f>
        <v/>
      </c>
      <c r="AE89" s="940" t="str">
        <f>IF(25-COUNTBLANK('Cálc. Sist. Extinção Automática'!DT41:'Cálc. Sist. Extinção Automática'!ER41)=0,"",25-COUNTBLANK('Cálc. Sist. Extinção Automática'!DT41:'Cálc. Sist. Extinção Automática'!ER41))</f>
        <v/>
      </c>
      <c r="AF89" s="940" t="str">
        <f t="shared" si="10"/>
        <v/>
      </c>
      <c r="AG89" s="1492" t="str">
        <f>IF(OR(AND(X89="c",Y89="s"),AND(X89="c",AF89=1),AND(X89="c",AC89&lt;$AC$72)),'Cálc. Sist. Extinção Automática'!AH41,"")</f>
        <v/>
      </c>
      <c r="AH89" s="1058" t="str">
        <f>IF(AG89="","",'Cálc. Sist. Extinção Automática'!AF41)</f>
        <v/>
      </c>
      <c r="AI89" s="1058" t="str">
        <f t="shared" si="11"/>
        <v/>
      </c>
      <c r="AK89" s="1084" t="str">
        <f>IF(OR($C$58,AG89=""),"",'Curvas da Instalação'!$D$22)</f>
        <v/>
      </c>
      <c r="AL89" s="1086" t="str">
        <f>IF(AK89="","",'Cálc. Sist. Extinção Automática'!M41)</f>
        <v/>
      </c>
      <c r="AM89" s="1085" t="str">
        <f>IF(AK89="","",'Cálc. Sist. Extinção Automática'!W41)</f>
        <v/>
      </c>
      <c r="AN89" s="1086" t="str">
        <f>IF(AK89="","",(66.7*AK89/'Cálc. Sist. Extinção Automática'!$B$17)/(PI()*AM89^2))</f>
        <v/>
      </c>
      <c r="AO89" s="136" t="str">
        <f t="shared" si="12"/>
        <v/>
      </c>
      <c r="AP89" s="136" t="str">
        <f>IF(AK89="","",IF('Cálc. Sist. Extinção Automática'!$M$15="",'Cálc. Sist. Extinção Automática'!$B$18*'Cálc. Sist. Extinção Automática'!$AU$19*AL89*61.7*100000*((AK89/'Cálc. Sist. Extinção Automática'!$B$17)^1.85/('Cálc. Sist. Extinção Automática'!$P$16^1.85*AM89^4.87)),'Cálc. Sist. Extinção Automática'!$B$18*'Cálc. Sist. Extinção Automática'!$AU$19*AL89*((4*'Cálc. Sist. Extinção Automática'!$P$16*((AN89^7)/(AM89/1000))^(1/4))/(AM89/1000))))</f>
        <v/>
      </c>
    </row>
    <row r="90" spans="1:42" ht="13.3" thickTop="1" thickBot="1" x14ac:dyDescent="0.35">
      <c r="A90" s="925"/>
      <c r="B90" s="925"/>
      <c r="C90" s="925"/>
      <c r="D90" s="940"/>
      <c r="E90" s="925"/>
      <c r="F90" s="925"/>
      <c r="G90" s="925"/>
      <c r="H90" s="925"/>
      <c r="I90" s="925"/>
      <c r="J90" s="925"/>
      <c r="K90" s="925"/>
      <c r="L90" s="925"/>
      <c r="M90" s="925"/>
      <c r="N90" s="925"/>
      <c r="O90" s="925"/>
      <c r="P90" s="925"/>
      <c r="Q90" s="925"/>
      <c r="R90" s="925"/>
      <c r="S90" s="925"/>
      <c r="T90" s="925"/>
      <c r="U90" s="925"/>
      <c r="V90" s="925"/>
      <c r="W90" s="925">
        <v>18</v>
      </c>
      <c r="X90" s="1052" t="str">
        <f>'Cálc. Sist. Extinção Automática'!B42</f>
        <v/>
      </c>
      <c r="Y90" s="1052" t="str">
        <f>'Cálc. Sist. Extinção Automática'!D42</f>
        <v/>
      </c>
      <c r="Z90" s="1052" t="str">
        <f t="shared" si="9"/>
        <v/>
      </c>
      <c r="AA90" s="1063" t="str">
        <f>IF('Cálc. Sist. Extinção Automática'!F42&lt;&gt;"",'Cálc. Sist. Extinção Automática'!F42,"")</f>
        <v/>
      </c>
      <c r="AB90" s="1063" t="str">
        <f>IF('Cálc. Sist. Extinção Automática'!G42&lt;&gt;"",'Cálc. Sist. Extinção Automática'!G42,"")</f>
        <v/>
      </c>
      <c r="AC90" s="1064" t="str">
        <f>IF('Cálc. Sist. Extinção Automática'!H42&lt;&gt;"",'Cálc. Sist. Extinção Automática'!H42,"")</f>
        <v/>
      </c>
      <c r="AD90" s="940" t="str">
        <f>IF(Z90="","",IF(25-COUNTBLANK('Cálc. Sist. Extinção Automática'!DT42:'Cálc. Sist. Extinção Automática'!ER42)=0,"",25-COUNTBLANK('Cálc. Sist. Extinção Automática'!DT42:'Cálc. Sist. Extinção Automática'!ER42)))</f>
        <v/>
      </c>
      <c r="AE90" s="940" t="str">
        <f>IF(25-COUNTBLANK('Cálc. Sist. Extinção Automática'!DT42:'Cálc. Sist. Extinção Automática'!ER42)=0,"",25-COUNTBLANK('Cálc. Sist. Extinção Automática'!DT42:'Cálc. Sist. Extinção Automática'!ER42))</f>
        <v/>
      </c>
      <c r="AF90" s="940" t="str">
        <f t="shared" si="10"/>
        <v/>
      </c>
      <c r="AG90" s="1492" t="str">
        <f>IF(OR(AND(X90="c",Y90="s"),AND(X90="c",AF90=1),AND(X90="c",AC90&lt;$AC$72)),'Cálc. Sist. Extinção Automática'!AH42,"")</f>
        <v/>
      </c>
      <c r="AH90" s="1058" t="str">
        <f>IF(AG90="","",'Cálc. Sist. Extinção Automática'!AF42)</f>
        <v/>
      </c>
      <c r="AI90" s="1058" t="str">
        <f t="shared" si="11"/>
        <v/>
      </c>
      <c r="AK90" s="1084" t="str">
        <f>IF(OR($C$58,AG90=""),"",'Curvas da Instalação'!$D$22)</f>
        <v/>
      </c>
      <c r="AL90" s="1086" t="str">
        <f>IF(AK90="","",'Cálc. Sist. Extinção Automática'!M42)</f>
        <v/>
      </c>
      <c r="AM90" s="1085" t="str">
        <f>IF(AK90="","",'Cálc. Sist. Extinção Automática'!W42)</f>
        <v/>
      </c>
      <c r="AN90" s="1086" t="str">
        <f>IF(AK90="","",(66.7*AK90/'Cálc. Sist. Extinção Automática'!$B$17)/(PI()*AM90^2))</f>
        <v/>
      </c>
      <c r="AO90" s="136" t="str">
        <f t="shared" si="12"/>
        <v/>
      </c>
      <c r="AP90" s="136" t="str">
        <f>IF(AK90="","",IF('Cálc. Sist. Extinção Automática'!$M$15="",'Cálc. Sist. Extinção Automática'!$B$18*'Cálc. Sist. Extinção Automática'!$AU$19*AL90*61.7*100000*((AK90/'Cálc. Sist. Extinção Automática'!$B$17)^1.85/('Cálc. Sist. Extinção Automática'!$P$16^1.85*AM90^4.87)),'Cálc. Sist. Extinção Automática'!$B$18*'Cálc. Sist. Extinção Automática'!$AU$19*AL90*((4*'Cálc. Sist. Extinção Automática'!$P$16*((AN90^7)/(AM90/1000))^(1/4))/(AM90/1000))))</f>
        <v/>
      </c>
    </row>
    <row r="91" spans="1:42" ht="13.3" thickTop="1" thickBot="1" x14ac:dyDescent="0.35">
      <c r="A91" s="925"/>
      <c r="B91" s="925"/>
      <c r="C91" s="925"/>
      <c r="D91" s="940"/>
      <c r="E91" s="925"/>
      <c r="F91" s="925"/>
      <c r="G91" s="925"/>
      <c r="H91" s="925"/>
      <c r="I91" s="925"/>
      <c r="J91" s="925"/>
      <c r="K91" s="925"/>
      <c r="L91" s="925"/>
      <c r="M91" s="925"/>
      <c r="N91" s="925"/>
      <c r="O91" s="925"/>
      <c r="P91" s="925"/>
      <c r="Q91" s="925"/>
      <c r="R91" s="925"/>
      <c r="S91" s="925"/>
      <c r="T91" s="925"/>
      <c r="U91" s="925"/>
      <c r="V91" s="925"/>
      <c r="W91" s="925">
        <v>19</v>
      </c>
      <c r="X91" s="1052" t="str">
        <f>'Cálc. Sist. Extinção Automática'!B43</f>
        <v/>
      </c>
      <c r="Y91" s="1052" t="str">
        <f>'Cálc. Sist. Extinção Automática'!D43</f>
        <v/>
      </c>
      <c r="Z91" s="1052" t="str">
        <f t="shared" si="9"/>
        <v/>
      </c>
      <c r="AA91" s="1063" t="str">
        <f>IF('Cálc. Sist. Extinção Automática'!F43&lt;&gt;"",'Cálc. Sist. Extinção Automática'!F43,"")</f>
        <v/>
      </c>
      <c r="AB91" s="1063" t="str">
        <f>IF('Cálc. Sist. Extinção Automática'!G43&lt;&gt;"",'Cálc. Sist. Extinção Automática'!G43,"")</f>
        <v/>
      </c>
      <c r="AC91" s="1064" t="str">
        <f>IF('Cálc. Sist. Extinção Automática'!H43&lt;&gt;"",'Cálc. Sist. Extinção Automática'!H43,"")</f>
        <v/>
      </c>
      <c r="AD91" s="940" t="str">
        <f>IF(Z91="","",IF(25-COUNTBLANK('Cálc. Sist. Extinção Automática'!DT43:'Cálc. Sist. Extinção Automática'!ER43)=0,"",25-COUNTBLANK('Cálc. Sist. Extinção Automática'!DT43:'Cálc. Sist. Extinção Automática'!ER43)))</f>
        <v/>
      </c>
      <c r="AE91" s="940" t="str">
        <f>IF(25-COUNTBLANK('Cálc. Sist. Extinção Automática'!DT43:'Cálc. Sist. Extinção Automática'!ER43)=0,"",25-COUNTBLANK('Cálc. Sist. Extinção Automática'!DT43:'Cálc. Sist. Extinção Automática'!ER43))</f>
        <v/>
      </c>
      <c r="AF91" s="940" t="str">
        <f t="shared" si="10"/>
        <v/>
      </c>
      <c r="AG91" s="1492" t="str">
        <f>IF(OR(AND(X91="c",Y91="s"),AND(X91="c",AF91=1),AND(X91="c",AC91&lt;$AC$72)),'Cálc. Sist. Extinção Automática'!AH43,"")</f>
        <v/>
      </c>
      <c r="AH91" s="1058" t="str">
        <f>IF(AG91="","",'Cálc. Sist. Extinção Automática'!AF43)</f>
        <v/>
      </c>
      <c r="AI91" s="1058" t="str">
        <f t="shared" si="11"/>
        <v/>
      </c>
      <c r="AK91" s="1084" t="str">
        <f>IF(OR($C$58,AG91=""),"",'Curvas da Instalação'!$D$22)</f>
        <v/>
      </c>
      <c r="AL91" s="1086" t="str">
        <f>IF(AK91="","",'Cálc. Sist. Extinção Automática'!M43)</f>
        <v/>
      </c>
      <c r="AM91" s="1085" t="str">
        <f>IF(AK91="","",'Cálc. Sist. Extinção Automática'!W43)</f>
        <v/>
      </c>
      <c r="AN91" s="1086" t="str">
        <f>IF(AK91="","",(66.7*AK91/'Cálc. Sist. Extinção Automática'!$B$17)/(PI()*AM91^2))</f>
        <v/>
      </c>
      <c r="AO91" s="136" t="str">
        <f t="shared" si="12"/>
        <v/>
      </c>
      <c r="AP91" s="136" t="str">
        <f>IF(AK91="","",IF('Cálc. Sist. Extinção Automática'!$M$15="",'Cálc. Sist. Extinção Automática'!$B$18*'Cálc. Sist. Extinção Automática'!$AU$19*AL91*61.7*100000*((AK91/'Cálc. Sist. Extinção Automática'!$B$17)^1.85/('Cálc. Sist. Extinção Automática'!$P$16^1.85*AM91^4.87)),'Cálc. Sist. Extinção Automática'!$B$18*'Cálc. Sist. Extinção Automática'!$AU$19*AL91*((4*'Cálc. Sist. Extinção Automática'!$P$16*((AN91^7)/(AM91/1000))^(1/4))/(AM91/1000))))</f>
        <v/>
      </c>
    </row>
    <row r="92" spans="1:42" ht="13.3" thickTop="1" thickBot="1" x14ac:dyDescent="0.35">
      <c r="A92" s="925"/>
      <c r="B92" s="925"/>
      <c r="C92" s="925"/>
      <c r="D92" s="940"/>
      <c r="E92" s="925"/>
      <c r="F92" s="925"/>
      <c r="G92" s="925"/>
      <c r="H92" s="925"/>
      <c r="I92" s="925"/>
      <c r="J92" s="925"/>
      <c r="K92" s="925"/>
      <c r="L92" s="925"/>
      <c r="M92" s="925"/>
      <c r="N92" s="925"/>
      <c r="O92" s="925"/>
      <c r="P92" s="925"/>
      <c r="Q92" s="925"/>
      <c r="R92" s="925"/>
      <c r="S92" s="925"/>
      <c r="T92" s="925"/>
      <c r="U92" s="925"/>
      <c r="V92" s="925"/>
      <c r="W92" s="925">
        <v>20</v>
      </c>
      <c r="X92" s="1052" t="str">
        <f>'Cálc. Sist. Extinção Automática'!B44</f>
        <v/>
      </c>
      <c r="Y92" s="1052" t="str">
        <f>'Cálc. Sist. Extinção Automática'!D44</f>
        <v/>
      </c>
      <c r="Z92" s="1052" t="str">
        <f t="shared" si="9"/>
        <v/>
      </c>
      <c r="AA92" s="1063" t="str">
        <f>IF('Cálc. Sist. Extinção Automática'!F44&lt;&gt;"",'Cálc. Sist. Extinção Automática'!F44,"")</f>
        <v/>
      </c>
      <c r="AB92" s="1063" t="str">
        <f>IF('Cálc. Sist. Extinção Automática'!G44&lt;&gt;"",'Cálc. Sist. Extinção Automática'!G44,"")</f>
        <v/>
      </c>
      <c r="AC92" s="1064" t="str">
        <f>IF('Cálc. Sist. Extinção Automática'!H44&lt;&gt;"",'Cálc. Sist. Extinção Automática'!H44,"")</f>
        <v/>
      </c>
      <c r="AD92" s="940" t="str">
        <f>IF(Z92="","",IF(25-COUNTBLANK('Cálc. Sist. Extinção Automática'!DT44:'Cálc. Sist. Extinção Automática'!ER44)=0,"",25-COUNTBLANK('Cálc. Sist. Extinção Automática'!DT44:'Cálc. Sist. Extinção Automática'!ER44)))</f>
        <v/>
      </c>
      <c r="AE92" s="940" t="str">
        <f>IF(25-COUNTBLANK('Cálc. Sist. Extinção Automática'!DT44:'Cálc. Sist. Extinção Automática'!ER44)=0,"",25-COUNTBLANK('Cálc. Sist. Extinção Automática'!DT44:'Cálc. Sist. Extinção Automática'!ER44))</f>
        <v/>
      </c>
      <c r="AF92" s="940" t="str">
        <f t="shared" si="10"/>
        <v/>
      </c>
      <c r="AG92" s="1492" t="str">
        <f>IF(OR(AND(X92="c",Y92="s"),AND(X92="c",AF92=1),AND(X92="c",AC92&lt;$AC$72)),'Cálc. Sist. Extinção Automática'!AH44,"")</f>
        <v/>
      </c>
      <c r="AH92" s="1058" t="str">
        <f>IF(AG92="","",'Cálc. Sist. Extinção Automática'!AF44)</f>
        <v/>
      </c>
      <c r="AI92" s="1058" t="str">
        <f t="shared" si="11"/>
        <v/>
      </c>
      <c r="AK92" s="1084" t="str">
        <f>IF(OR($C$58,AG92=""),"",'Curvas da Instalação'!$D$22)</f>
        <v/>
      </c>
      <c r="AL92" s="1086" t="str">
        <f>IF(AK92="","",'Cálc. Sist. Extinção Automática'!M44)</f>
        <v/>
      </c>
      <c r="AM92" s="1085" t="str">
        <f>IF(AK92="","",'Cálc. Sist. Extinção Automática'!W44)</f>
        <v/>
      </c>
      <c r="AN92" s="1086" t="str">
        <f>IF(AK92="","",(66.7*AK92/'Cálc. Sist. Extinção Automática'!$B$17)/(PI()*AM92^2))</f>
        <v/>
      </c>
      <c r="AO92" s="136" t="str">
        <f t="shared" si="12"/>
        <v/>
      </c>
      <c r="AP92" s="136" t="str">
        <f>IF(AK92="","",IF('Cálc. Sist. Extinção Automática'!$M$15="",'Cálc. Sist. Extinção Automática'!$B$18*'Cálc. Sist. Extinção Automática'!$AU$19*AL92*61.7*100000*((AK92/'Cálc. Sist. Extinção Automática'!$B$17)^1.85/('Cálc. Sist. Extinção Automática'!$P$16^1.85*AM92^4.87)),'Cálc. Sist. Extinção Automática'!$B$18*'Cálc. Sist. Extinção Automática'!$AU$19*AL92*((4*'Cálc. Sist. Extinção Automática'!$P$16*((AN92^7)/(AM92/1000))^(1/4))/(AM92/1000))))</f>
        <v/>
      </c>
    </row>
    <row r="93" spans="1:42" ht="13.3" thickTop="1" thickBot="1" x14ac:dyDescent="0.35">
      <c r="A93" s="925"/>
      <c r="B93" s="925"/>
      <c r="C93" s="925"/>
      <c r="D93" s="940"/>
      <c r="E93" s="925"/>
      <c r="F93" s="925"/>
      <c r="G93" s="925"/>
      <c r="H93" s="925"/>
      <c r="I93" s="925"/>
      <c r="J93" s="925"/>
      <c r="K93" s="925"/>
      <c r="L93" s="925"/>
      <c r="M93" s="925"/>
      <c r="N93" s="925"/>
      <c r="O93" s="925"/>
      <c r="P93" s="925"/>
      <c r="Q93" s="925"/>
      <c r="R93" s="925"/>
      <c r="S93" s="925"/>
      <c r="T93" s="925"/>
      <c r="U93" s="925"/>
      <c r="V93" s="925"/>
      <c r="W93" s="925">
        <v>21</v>
      </c>
      <c r="X93" s="1052" t="str">
        <f>'Cálc. Sist. Extinção Automática'!B45</f>
        <v/>
      </c>
      <c r="Y93" s="1052" t="str">
        <f>'Cálc. Sist. Extinção Automática'!D45</f>
        <v/>
      </c>
      <c r="Z93" s="1052" t="str">
        <f t="shared" si="9"/>
        <v/>
      </c>
      <c r="AA93" s="1063" t="str">
        <f>IF('Cálc. Sist. Extinção Automática'!F45&lt;&gt;"",'Cálc. Sist. Extinção Automática'!F45,"")</f>
        <v/>
      </c>
      <c r="AB93" s="1063" t="str">
        <f>IF('Cálc. Sist. Extinção Automática'!G45&lt;&gt;"",'Cálc. Sist. Extinção Automática'!G45,"")</f>
        <v/>
      </c>
      <c r="AC93" s="1064" t="str">
        <f>IF('Cálc. Sist. Extinção Automática'!H45&lt;&gt;"",'Cálc. Sist. Extinção Automática'!H45,"")</f>
        <v/>
      </c>
      <c r="AD93" s="940" t="str">
        <f>IF(Z93="","",IF(25-COUNTBLANK('Cálc. Sist. Extinção Automática'!DT45:'Cálc. Sist. Extinção Automática'!ER45)=0,"",25-COUNTBLANK('Cálc. Sist. Extinção Automática'!DT45:'Cálc. Sist. Extinção Automática'!ER45)))</f>
        <v/>
      </c>
      <c r="AE93" s="940" t="str">
        <f>IF(25-COUNTBLANK('Cálc. Sist. Extinção Automática'!DT45:'Cálc. Sist. Extinção Automática'!ER45)=0,"",25-COUNTBLANK('Cálc. Sist. Extinção Automática'!DT45:'Cálc. Sist. Extinção Automática'!ER45))</f>
        <v/>
      </c>
      <c r="AF93" s="940" t="str">
        <f t="shared" si="10"/>
        <v/>
      </c>
      <c r="AG93" s="1492" t="str">
        <f>IF(OR(AND(X93="c",Y93="s"),AND(X93="c",AF93=1),AND(X93="c",AC93&lt;$AC$72)),'Cálc. Sist. Extinção Automática'!AH45,"")</f>
        <v/>
      </c>
      <c r="AH93" s="1058" t="str">
        <f>IF(AG93="","",'Cálc. Sist. Extinção Automática'!AF45)</f>
        <v/>
      </c>
      <c r="AI93" s="1058" t="str">
        <f t="shared" si="11"/>
        <v/>
      </c>
      <c r="AK93" s="1084" t="str">
        <f>IF(OR($C$58,AG93=""),"",'Curvas da Instalação'!$D$22)</f>
        <v/>
      </c>
      <c r="AL93" s="1086" t="str">
        <f>IF(AK93="","",'Cálc. Sist. Extinção Automática'!M45)</f>
        <v/>
      </c>
      <c r="AM93" s="1085" t="str">
        <f>IF(AK93="","",'Cálc. Sist. Extinção Automática'!W45)</f>
        <v/>
      </c>
      <c r="AN93" s="1086" t="str">
        <f>IF(AK93="","",(66.7*AK93/'Cálc. Sist. Extinção Automática'!$B$17)/(PI()*AM93^2))</f>
        <v/>
      </c>
      <c r="AO93" s="136" t="str">
        <f t="shared" si="12"/>
        <v/>
      </c>
      <c r="AP93" s="136" t="str">
        <f>IF(AK93="","",IF('Cálc. Sist. Extinção Automática'!$M$15="",'Cálc. Sist. Extinção Automática'!$B$18*'Cálc. Sist. Extinção Automática'!$AU$19*AL93*61.7*100000*((AK93/'Cálc. Sist. Extinção Automática'!$B$17)^1.85/('Cálc. Sist. Extinção Automática'!$P$16^1.85*AM93^4.87)),'Cálc. Sist. Extinção Automática'!$B$18*'Cálc. Sist. Extinção Automática'!$AU$19*AL93*((4*'Cálc. Sist. Extinção Automática'!$P$16*((AN93^7)/(AM93/1000))^(1/4))/(AM93/1000))))</f>
        <v/>
      </c>
    </row>
    <row r="94" spans="1:42" ht="13.3" thickTop="1" thickBot="1" x14ac:dyDescent="0.35">
      <c r="A94" s="925"/>
      <c r="B94" s="925"/>
      <c r="C94" s="925"/>
      <c r="D94" s="940"/>
      <c r="E94" s="925"/>
      <c r="F94" s="925"/>
      <c r="G94" s="925"/>
      <c r="H94" s="925"/>
      <c r="I94" s="925"/>
      <c r="J94" s="925"/>
      <c r="K94" s="925"/>
      <c r="L94" s="925"/>
      <c r="M94" s="925"/>
      <c r="N94" s="925"/>
      <c r="O94" s="925"/>
      <c r="P94" s="925"/>
      <c r="Q94" s="925"/>
      <c r="R94" s="925"/>
      <c r="S94" s="925"/>
      <c r="T94" s="925"/>
      <c r="U94" s="925"/>
      <c r="V94" s="925"/>
      <c r="W94" s="925">
        <v>22</v>
      </c>
      <c r="X94" s="1052" t="str">
        <f>'Cálc. Sist. Extinção Automática'!B46</f>
        <v/>
      </c>
      <c r="Y94" s="1052" t="str">
        <f>'Cálc. Sist. Extinção Automática'!D46</f>
        <v/>
      </c>
      <c r="Z94" s="1052" t="str">
        <f t="shared" si="9"/>
        <v/>
      </c>
      <c r="AA94" s="1063" t="str">
        <f>IF('Cálc. Sist. Extinção Automática'!F46&lt;&gt;"",'Cálc. Sist. Extinção Automática'!F46,"")</f>
        <v/>
      </c>
      <c r="AB94" s="1063" t="str">
        <f>IF('Cálc. Sist. Extinção Automática'!G46&lt;&gt;"",'Cálc. Sist. Extinção Automática'!G46,"")</f>
        <v/>
      </c>
      <c r="AC94" s="1064" t="str">
        <f>IF('Cálc. Sist. Extinção Automática'!H46&lt;&gt;"",'Cálc. Sist. Extinção Automática'!H46,"")</f>
        <v/>
      </c>
      <c r="AD94" s="940" t="str">
        <f>IF(Z94="","",IF(25-COUNTBLANK('Cálc. Sist. Extinção Automática'!DT46:'Cálc. Sist. Extinção Automática'!ER46)=0,"",25-COUNTBLANK('Cálc. Sist. Extinção Automática'!DT46:'Cálc. Sist. Extinção Automática'!ER46)))</f>
        <v/>
      </c>
      <c r="AE94" s="940" t="str">
        <f>IF(25-COUNTBLANK('Cálc. Sist. Extinção Automática'!DT46:'Cálc. Sist. Extinção Automática'!ER46)=0,"",25-COUNTBLANK('Cálc. Sist. Extinção Automática'!DT46:'Cálc. Sist. Extinção Automática'!ER46))</f>
        <v/>
      </c>
      <c r="AF94" s="940" t="str">
        <f t="shared" si="10"/>
        <v/>
      </c>
      <c r="AG94" s="1492" t="str">
        <f>IF(OR(AND(X94="c",Y94="s"),AND(X94="c",AF94=1),AND(X94="c",AC94&lt;$AC$72)),'Cálc. Sist. Extinção Automática'!AH46,"")</f>
        <v/>
      </c>
      <c r="AH94" s="1058" t="str">
        <f>IF(AG94="","",'Cálc. Sist. Extinção Automática'!AF46)</f>
        <v/>
      </c>
      <c r="AI94" s="1058" t="str">
        <f t="shared" si="11"/>
        <v/>
      </c>
      <c r="AK94" s="1084" t="str">
        <f>IF(OR($C$58,AG94=""),"",'Curvas da Instalação'!$D$22)</f>
        <v/>
      </c>
      <c r="AL94" s="1086" t="str">
        <f>IF(AK94="","",'Cálc. Sist. Extinção Automática'!M46)</f>
        <v/>
      </c>
      <c r="AM94" s="1085" t="str">
        <f>IF(AK94="","",'Cálc. Sist. Extinção Automática'!W46)</f>
        <v/>
      </c>
      <c r="AN94" s="1086" t="str">
        <f>IF(AK94="","",(66.7*AK94/'Cálc. Sist. Extinção Automática'!$B$17)/(PI()*AM94^2))</f>
        <v/>
      </c>
      <c r="AO94" s="136" t="str">
        <f t="shared" si="12"/>
        <v/>
      </c>
      <c r="AP94" s="136" t="str">
        <f>IF(AK94="","",IF('Cálc. Sist. Extinção Automática'!$M$15="",'Cálc. Sist. Extinção Automática'!$B$18*'Cálc. Sist. Extinção Automática'!$AU$19*AL94*61.7*100000*((AK94/'Cálc. Sist. Extinção Automática'!$B$17)^1.85/('Cálc. Sist. Extinção Automática'!$P$16^1.85*AM94^4.87)),'Cálc. Sist. Extinção Automática'!$B$18*'Cálc. Sist. Extinção Automática'!$AU$19*AL94*((4*'Cálc. Sist. Extinção Automática'!$P$16*((AN94^7)/(AM94/1000))^(1/4))/(AM94/1000))))</f>
        <v/>
      </c>
    </row>
    <row r="95" spans="1:42" ht="13.3" thickTop="1" thickBot="1" x14ac:dyDescent="0.35">
      <c r="A95" s="925"/>
      <c r="B95" s="925"/>
      <c r="C95" s="925"/>
      <c r="D95" s="940"/>
      <c r="E95" s="925"/>
      <c r="F95" s="925"/>
      <c r="G95" s="925"/>
      <c r="H95" s="925"/>
      <c r="I95" s="925"/>
      <c r="J95" s="925"/>
      <c r="K95" s="925"/>
      <c r="L95" s="925"/>
      <c r="M95" s="925"/>
      <c r="N95" s="925"/>
      <c r="O95" s="925"/>
      <c r="P95" s="925"/>
      <c r="Q95" s="925"/>
      <c r="R95" s="925"/>
      <c r="S95" s="925"/>
      <c r="T95" s="925"/>
      <c r="U95" s="925"/>
      <c r="V95" s="925"/>
      <c r="W95" s="925">
        <v>23</v>
      </c>
      <c r="X95" s="1052" t="str">
        <f>'Cálc. Sist. Extinção Automática'!B47</f>
        <v/>
      </c>
      <c r="Y95" s="1052" t="str">
        <f>'Cálc. Sist. Extinção Automática'!D47</f>
        <v/>
      </c>
      <c r="Z95" s="1052" t="str">
        <f t="shared" si="9"/>
        <v/>
      </c>
      <c r="AA95" s="1063" t="str">
        <f>IF('Cálc. Sist. Extinção Automática'!F47&lt;&gt;"",'Cálc. Sist. Extinção Automática'!F47,"")</f>
        <v/>
      </c>
      <c r="AB95" s="1063" t="str">
        <f>IF('Cálc. Sist. Extinção Automática'!G47&lt;&gt;"",'Cálc. Sist. Extinção Automática'!G47,"")</f>
        <v/>
      </c>
      <c r="AC95" s="1064" t="str">
        <f>IF('Cálc. Sist. Extinção Automática'!H47&lt;&gt;"",'Cálc. Sist. Extinção Automática'!H47,"")</f>
        <v/>
      </c>
      <c r="AD95" s="940" t="str">
        <f>IF(Z95="","",IF(25-COUNTBLANK('Cálc. Sist. Extinção Automática'!DT47:'Cálc. Sist. Extinção Automática'!ER47)=0,"",25-COUNTBLANK('Cálc. Sist. Extinção Automática'!DT47:'Cálc. Sist. Extinção Automática'!ER47)))</f>
        <v/>
      </c>
      <c r="AE95" s="940" t="str">
        <f>IF(25-COUNTBLANK('Cálc. Sist. Extinção Automática'!DT47:'Cálc. Sist. Extinção Automática'!ER47)=0,"",25-COUNTBLANK('Cálc. Sist. Extinção Automática'!DT47:'Cálc. Sist. Extinção Automática'!ER47))</f>
        <v/>
      </c>
      <c r="AF95" s="940" t="str">
        <f t="shared" si="10"/>
        <v/>
      </c>
      <c r="AG95" s="1492" t="str">
        <f>IF(OR(AND(X95="c",Y95="s"),AND(X95="c",AF95=1),AND(X95="c",AC95&lt;$AC$72)),'Cálc. Sist. Extinção Automática'!AH47,"")</f>
        <v/>
      </c>
      <c r="AH95" s="1058" t="str">
        <f>IF(AG95="","",'Cálc. Sist. Extinção Automática'!AF47)</f>
        <v/>
      </c>
      <c r="AI95" s="1058" t="str">
        <f t="shared" si="11"/>
        <v/>
      </c>
      <c r="AK95" s="1084" t="str">
        <f>IF(OR($C$58,AG95=""),"",'Curvas da Instalação'!$D$22)</f>
        <v/>
      </c>
      <c r="AL95" s="1086" t="str">
        <f>IF(AK95="","",'Cálc. Sist. Extinção Automática'!M47)</f>
        <v/>
      </c>
      <c r="AM95" s="1085" t="str">
        <f>IF(AK95="","",'Cálc. Sist. Extinção Automática'!W47)</f>
        <v/>
      </c>
      <c r="AN95" s="1086" t="str">
        <f>IF(AK95="","",(66.7*AK95/'Cálc. Sist. Extinção Automática'!$B$17)/(PI()*AM95^2))</f>
        <v/>
      </c>
      <c r="AO95" s="136" t="str">
        <f t="shared" si="12"/>
        <v/>
      </c>
      <c r="AP95" s="136" t="str">
        <f>IF(AK95="","",IF('Cálc. Sist. Extinção Automática'!$M$15="",'Cálc. Sist. Extinção Automática'!$B$18*'Cálc. Sist. Extinção Automática'!$AU$19*AL95*61.7*100000*((AK95/'Cálc. Sist. Extinção Automática'!$B$17)^1.85/('Cálc. Sist. Extinção Automática'!$P$16^1.85*AM95^4.87)),'Cálc. Sist. Extinção Automática'!$B$18*'Cálc. Sist. Extinção Automática'!$AU$19*AL95*((4*'Cálc. Sist. Extinção Automática'!$P$16*((AN95^7)/(AM95/1000))^(1/4))/(AM95/1000))))</f>
        <v/>
      </c>
    </row>
    <row r="96" spans="1:42" ht="13.3" thickTop="1" thickBot="1" x14ac:dyDescent="0.35">
      <c r="A96" s="925"/>
      <c r="B96" s="925"/>
      <c r="C96" s="925"/>
      <c r="D96" s="940"/>
      <c r="E96" s="925"/>
      <c r="F96" s="925"/>
      <c r="G96" s="925"/>
      <c r="H96" s="925"/>
      <c r="I96" s="925"/>
      <c r="J96" s="925"/>
      <c r="K96" s="925"/>
      <c r="L96" s="925"/>
      <c r="M96" s="925"/>
      <c r="N96" s="925"/>
      <c r="O96" s="925"/>
      <c r="P96" s="925"/>
      <c r="Q96" s="925"/>
      <c r="R96" s="925"/>
      <c r="S96" s="925"/>
      <c r="T96" s="925"/>
      <c r="U96" s="925"/>
      <c r="V96" s="925"/>
      <c r="W96" s="925">
        <v>24</v>
      </c>
      <c r="X96" s="1052" t="str">
        <f>'Cálc. Sist. Extinção Automática'!B48</f>
        <v/>
      </c>
      <c r="Y96" s="1052" t="str">
        <f>'Cálc. Sist. Extinção Automática'!D48</f>
        <v/>
      </c>
      <c r="Z96" s="1052" t="str">
        <f t="shared" si="9"/>
        <v/>
      </c>
      <c r="AA96" s="1063" t="str">
        <f>IF('Cálc. Sist. Extinção Automática'!F48&lt;&gt;"",'Cálc. Sist. Extinção Automática'!F48,"")</f>
        <v/>
      </c>
      <c r="AB96" s="1063" t="str">
        <f>IF('Cálc. Sist. Extinção Automática'!G48&lt;&gt;"",'Cálc. Sist. Extinção Automática'!G48,"")</f>
        <v/>
      </c>
      <c r="AC96" s="1064" t="str">
        <f>IF('Cálc. Sist. Extinção Automática'!H48&lt;&gt;"",'Cálc. Sist. Extinção Automática'!H48,"")</f>
        <v/>
      </c>
      <c r="AD96" s="940" t="str">
        <f>IF(Z96="","",IF(25-COUNTBLANK('Cálc. Sist. Extinção Automática'!DT48:'Cálc. Sist. Extinção Automática'!ER48)=0,"",25-COUNTBLANK('Cálc. Sist. Extinção Automática'!DT48:'Cálc. Sist. Extinção Automática'!ER48)))</f>
        <v/>
      </c>
      <c r="AE96" s="940" t="str">
        <f>IF(25-COUNTBLANK('Cálc. Sist. Extinção Automática'!DT48:'Cálc. Sist. Extinção Automática'!ER48)=0,"",25-COUNTBLANK('Cálc. Sist. Extinção Automática'!DT48:'Cálc. Sist. Extinção Automática'!ER48))</f>
        <v/>
      </c>
      <c r="AF96" s="940" t="str">
        <f t="shared" si="10"/>
        <v/>
      </c>
      <c r="AG96" s="1492" t="str">
        <f>IF(OR(AND(X96="c",Y96="s"),AND(X96="c",AF96=1),AND(X96="c",AC96&lt;$AC$72)),'Cálc. Sist. Extinção Automática'!AH48,"")</f>
        <v/>
      </c>
      <c r="AH96" s="1058" t="str">
        <f>IF(AG96="","",'Cálc. Sist. Extinção Automática'!AF48)</f>
        <v/>
      </c>
      <c r="AI96" s="1058" t="str">
        <f t="shared" si="11"/>
        <v/>
      </c>
      <c r="AK96" s="1084" t="str">
        <f>IF(OR($C$58,AG96=""),"",'Curvas da Instalação'!$D$22)</f>
        <v/>
      </c>
      <c r="AL96" s="1086" t="str">
        <f>IF(AK96="","",'Cálc. Sist. Extinção Automática'!M48)</f>
        <v/>
      </c>
      <c r="AM96" s="1085" t="str">
        <f>IF(AK96="","",'Cálc. Sist. Extinção Automática'!W48)</f>
        <v/>
      </c>
      <c r="AN96" s="1086" t="str">
        <f>IF(AK96="","",(66.7*AK96/'Cálc. Sist. Extinção Automática'!$B$17)/(PI()*AM96^2))</f>
        <v/>
      </c>
      <c r="AO96" s="136" t="str">
        <f t="shared" si="12"/>
        <v/>
      </c>
      <c r="AP96" s="136" t="str">
        <f>IF(AK96="","",IF('Cálc. Sist. Extinção Automática'!$M$15="",'Cálc. Sist. Extinção Automática'!$B$18*'Cálc. Sist. Extinção Automática'!$AU$19*AL96*61.7*100000*((AK96/'Cálc. Sist. Extinção Automática'!$B$17)^1.85/('Cálc. Sist. Extinção Automática'!$P$16^1.85*AM96^4.87)),'Cálc. Sist. Extinção Automática'!$B$18*'Cálc. Sist. Extinção Automática'!$AU$19*AL96*((4*'Cálc. Sist. Extinção Automática'!$P$16*((AN96^7)/(AM96/1000))^(1/4))/(AM96/1000))))</f>
        <v/>
      </c>
    </row>
    <row r="97" spans="1:42" ht="13.3" thickTop="1" thickBot="1" x14ac:dyDescent="0.35">
      <c r="A97" s="925"/>
      <c r="B97" s="925"/>
      <c r="C97" s="925"/>
      <c r="D97" s="940"/>
      <c r="E97" s="925"/>
      <c r="F97" s="925"/>
      <c r="G97" s="925"/>
      <c r="H97" s="925"/>
      <c r="I97" s="925"/>
      <c r="J97" s="925"/>
      <c r="K97" s="925"/>
      <c r="L97" s="925"/>
      <c r="M97" s="925"/>
      <c r="N97" s="925"/>
      <c r="O97" s="925"/>
      <c r="P97" s="925"/>
      <c r="Q97" s="925"/>
      <c r="R97" s="925"/>
      <c r="S97" s="925"/>
      <c r="T97" s="925"/>
      <c r="U97" s="925"/>
      <c r="V97" s="925"/>
      <c r="W97" s="925">
        <v>25</v>
      </c>
      <c r="X97" s="1052" t="str">
        <f>'Cálc. Sist. Extinção Automática'!B49</f>
        <v/>
      </c>
      <c r="Y97" s="1052" t="str">
        <f>'Cálc. Sist. Extinção Automática'!D49</f>
        <v/>
      </c>
      <c r="Z97" s="1052" t="str">
        <f t="shared" si="9"/>
        <v/>
      </c>
      <c r="AA97" s="1063" t="str">
        <f>IF('Cálc. Sist. Extinção Automática'!F49&lt;&gt;"",'Cálc. Sist. Extinção Automática'!F49,"")</f>
        <v/>
      </c>
      <c r="AB97" s="1063" t="str">
        <f>IF('Cálc. Sist. Extinção Automática'!G49&lt;&gt;"",'Cálc. Sist. Extinção Automática'!G49,"")</f>
        <v/>
      </c>
      <c r="AC97" s="1064" t="str">
        <f>IF('Cálc. Sist. Extinção Automática'!H49&lt;&gt;"",'Cálc. Sist. Extinção Automática'!H49,"")</f>
        <v/>
      </c>
      <c r="AD97" s="940" t="str">
        <f>IF(Z97="","",IF(25-COUNTBLANK('Cálc. Sist. Extinção Automática'!DT49:'Cálc. Sist. Extinção Automática'!ER49)=0,"",25-COUNTBLANK('Cálc. Sist. Extinção Automática'!DT49:'Cálc. Sist. Extinção Automática'!ER49)))</f>
        <v/>
      </c>
      <c r="AE97" s="940" t="str">
        <f>IF(25-COUNTBLANK('Cálc. Sist. Extinção Automática'!DT49:'Cálc. Sist. Extinção Automática'!ER49)=0,"",25-COUNTBLANK('Cálc. Sist. Extinção Automática'!DT49:'Cálc. Sist. Extinção Automática'!ER49))</f>
        <v/>
      </c>
      <c r="AF97" s="940" t="str">
        <f t="shared" si="10"/>
        <v/>
      </c>
      <c r="AG97" s="1492" t="str">
        <f>IF(OR(AND(X97="c",Y97="s"),AND(X97="c",AF97=1),AND(X97="c",AC97&lt;$AC$72)),'Cálc. Sist. Extinção Automática'!AH49,"")</f>
        <v/>
      </c>
      <c r="AH97" s="1058" t="str">
        <f>IF(AG97="","",'Cálc. Sist. Extinção Automática'!AF49)</f>
        <v/>
      </c>
      <c r="AI97" s="1058" t="str">
        <f t="shared" si="11"/>
        <v/>
      </c>
      <c r="AK97" s="1084" t="str">
        <f>IF(OR($C$58,AG97=""),"",'Curvas da Instalação'!$D$22)</f>
        <v/>
      </c>
      <c r="AL97" s="1086" t="str">
        <f>IF(AK97="","",'Cálc. Sist. Extinção Automática'!M49)</f>
        <v/>
      </c>
      <c r="AM97" s="1085" t="str">
        <f>IF(AK97="","",'Cálc. Sist. Extinção Automática'!W49)</f>
        <v/>
      </c>
      <c r="AN97" s="1086" t="str">
        <f>IF(AK97="","",(66.7*AK97/'Cálc. Sist. Extinção Automática'!$B$17)/(PI()*AM97^2))</f>
        <v/>
      </c>
      <c r="AO97" s="136" t="str">
        <f t="shared" si="12"/>
        <v/>
      </c>
      <c r="AP97" s="136" t="str">
        <f>IF(AK97="","",IF('Cálc. Sist. Extinção Automática'!$M$15="",'Cálc. Sist. Extinção Automática'!$B$18*'Cálc. Sist. Extinção Automática'!$AU$19*AL97*61.7*100000*((AK97/'Cálc. Sist. Extinção Automática'!$B$17)^1.85/('Cálc. Sist. Extinção Automática'!$P$16^1.85*AM97^4.87)),'Cálc. Sist. Extinção Automática'!$B$18*'Cálc. Sist. Extinção Automática'!$AU$19*AL97*((4*'Cálc. Sist. Extinção Automática'!$P$16*((AN97^7)/(AM97/1000))^(1/4))/(AM97/1000))))</f>
        <v/>
      </c>
    </row>
    <row r="98" spans="1:42" ht="12.9" thickTop="1" x14ac:dyDescent="0.3">
      <c r="A98" s="925"/>
      <c r="B98" s="925"/>
      <c r="C98" s="925"/>
      <c r="D98" s="940"/>
      <c r="E98" s="925"/>
      <c r="F98" s="925"/>
      <c r="G98" s="925"/>
      <c r="H98" s="925"/>
      <c r="I98" s="925"/>
      <c r="J98" s="925"/>
      <c r="K98" s="925"/>
      <c r="L98" s="925"/>
      <c r="M98" s="925"/>
      <c r="N98" s="925"/>
      <c r="O98" s="925"/>
      <c r="P98" s="925"/>
      <c r="Q98" s="925"/>
      <c r="R98" s="925"/>
      <c r="S98" s="925"/>
      <c r="T98" s="925"/>
      <c r="U98" s="925"/>
      <c r="V98" s="925"/>
    </row>
    <row r="99" spans="1:42" x14ac:dyDescent="0.3">
      <c r="A99" s="925"/>
      <c r="B99" s="925"/>
      <c r="C99" s="925"/>
      <c r="D99" s="940"/>
      <c r="E99" s="925"/>
      <c r="F99" s="925"/>
      <c r="G99" s="925"/>
      <c r="H99" s="925"/>
      <c r="I99" s="925"/>
      <c r="J99" s="925"/>
      <c r="K99" s="925"/>
      <c r="L99" s="925"/>
      <c r="M99" s="925"/>
      <c r="N99" s="925"/>
      <c r="O99" s="925"/>
      <c r="P99" s="925"/>
      <c r="Q99" s="925"/>
      <c r="R99" s="925"/>
      <c r="S99" s="925"/>
      <c r="T99" s="925"/>
      <c r="U99" s="925"/>
      <c r="V99" s="925"/>
    </row>
    <row r="100" spans="1:42" x14ac:dyDescent="0.3">
      <c r="A100" s="925"/>
      <c r="B100" s="925"/>
      <c r="C100" s="983" t="str">
        <f>"Ponto de func. mais crítico em pressão"&amp;" ("&amp;$AC$72&amp;" Sprinklers)"</f>
        <v>Ponto de func. mais crítico em pressão (18 Sprinklers)</v>
      </c>
      <c r="D100" s="940"/>
      <c r="E100" s="925"/>
      <c r="F100" s="925"/>
      <c r="G100" s="925"/>
      <c r="H100" s="925"/>
      <c r="I100" s="925"/>
      <c r="J100" s="925"/>
      <c r="K100" s="925"/>
      <c r="L100" s="925"/>
      <c r="M100" s="925"/>
      <c r="N100" s="925"/>
      <c r="O100" s="925"/>
      <c r="P100" s="925"/>
      <c r="Q100" s="925"/>
      <c r="R100" s="925"/>
      <c r="S100" s="925"/>
      <c r="T100" s="925"/>
      <c r="U100" s="925"/>
      <c r="V100" s="925"/>
    </row>
    <row r="101" spans="1:42" x14ac:dyDescent="0.3">
      <c r="A101" s="925"/>
      <c r="B101" s="925"/>
      <c r="C101" s="925"/>
      <c r="D101" s="930" t="s">
        <v>711</v>
      </c>
      <c r="E101" s="925"/>
      <c r="F101" s="925"/>
      <c r="G101" s="925"/>
      <c r="H101" s="925"/>
      <c r="I101" s="925"/>
      <c r="J101" s="925"/>
      <c r="K101" s="925"/>
      <c r="L101" s="925"/>
      <c r="M101" s="925"/>
      <c r="N101" s="925"/>
      <c r="O101" s="925"/>
      <c r="P101" s="925"/>
      <c r="Q101" s="925"/>
      <c r="R101" s="925"/>
      <c r="S101" s="925"/>
      <c r="T101" s="925"/>
      <c r="U101" s="925"/>
      <c r="V101" s="925"/>
    </row>
    <row r="102" spans="1:42" x14ac:dyDescent="0.3">
      <c r="A102" s="925"/>
      <c r="B102" s="925"/>
      <c r="C102" s="925"/>
      <c r="D102" s="940" t="s">
        <v>696</v>
      </c>
      <c r="E102" s="940" t="s">
        <v>45</v>
      </c>
      <c r="F102" s="925"/>
      <c r="G102" s="925"/>
      <c r="H102" s="925"/>
      <c r="I102" s="925"/>
      <c r="J102" s="925"/>
      <c r="K102" s="925"/>
      <c r="L102" s="925"/>
      <c r="M102" s="925"/>
      <c r="N102" s="925"/>
      <c r="O102" s="925"/>
      <c r="P102" s="925"/>
      <c r="Q102" s="925"/>
      <c r="R102" s="925"/>
      <c r="S102" s="925"/>
      <c r="T102" s="925"/>
      <c r="U102" s="925"/>
      <c r="V102" s="925"/>
    </row>
    <row r="103" spans="1:42" ht="16.75" x14ac:dyDescent="0.3">
      <c r="A103" s="925"/>
      <c r="B103" s="925"/>
      <c r="C103" s="925" t="s">
        <v>875</v>
      </c>
      <c r="D103" s="964">
        <f>IF(OR('Cálc. Sist. Extinção Automática'!$BJ$4=2,'Cálc. Sist. Extinção Automática'!$BJ$4=4),2,IF('Cálc. Sist. Extinção Automática'!$BJ$4=3,1,0.1))</f>
        <v>0.1</v>
      </c>
      <c r="E103" s="964">
        <f>IF(OR('Cálc. Sist. Extinção Automática'!$BC$4=2,'Cálc. Sist. Extinção Automática'!$BC$4=4),1,IF('Cálc. Sist. Extinção Automática'!$BC$4=3,0.1,0.1))</f>
        <v>0.1</v>
      </c>
      <c r="F103" s="942" t="s">
        <v>702</v>
      </c>
      <c r="G103" s="965" t="str">
        <f>IF(D17="","",IF($B$39="x",0,ROUND(D17,$E$103)))</f>
        <v/>
      </c>
      <c r="H103" s="965" t="str">
        <f>G103&amp;" "&amp;'Cálc. Sist. Extinção Automática'!$BG$4</f>
        <v xml:space="preserve"> l/min</v>
      </c>
      <c r="I103" s="925"/>
      <c r="J103" s="925"/>
      <c r="K103" s="925"/>
      <c r="L103" s="925"/>
      <c r="M103" s="925"/>
      <c r="N103" s="925"/>
      <c r="O103" s="925"/>
      <c r="P103" s="925"/>
      <c r="Q103" s="925"/>
      <c r="R103" s="925"/>
      <c r="S103" s="925"/>
      <c r="T103" s="925"/>
      <c r="U103" s="925"/>
      <c r="V103" s="925"/>
    </row>
    <row r="104" spans="1:42" ht="16.75" x14ac:dyDescent="0.3">
      <c r="A104" s="925"/>
      <c r="B104" s="925"/>
      <c r="C104" s="925"/>
      <c r="D104" s="966">
        <f>'Cálc. Sist. Extinção Automática'!$BJ$4</f>
        <v>1</v>
      </c>
      <c r="E104" s="966">
        <f>'Cálc. Sist. Extinção Automática'!$BC$4</f>
        <v>1</v>
      </c>
      <c r="F104" s="942" t="s">
        <v>701</v>
      </c>
      <c r="G104" s="965" t="str">
        <f>IF(D17="","",IF($B$39="x",0,ROUND($E$17+$F$17*D17^1.85,D103)))</f>
        <v/>
      </c>
      <c r="H104" s="965" t="str">
        <f>G104&amp;" "&amp;'Cálc. Sist. Extinção Automática'!$BL$4</f>
        <v xml:space="preserve"> kPa</v>
      </c>
      <c r="I104" s="925"/>
      <c r="J104" s="925"/>
      <c r="K104" s="925"/>
      <c r="L104" s="925"/>
      <c r="M104" s="925"/>
      <c r="N104" s="925"/>
      <c r="O104" s="925"/>
      <c r="P104" s="925"/>
      <c r="Q104" s="925"/>
      <c r="R104" s="925"/>
      <c r="S104" s="925"/>
      <c r="T104" s="925"/>
      <c r="U104" s="925"/>
      <c r="V104" s="925"/>
    </row>
    <row r="105" spans="1:42" x14ac:dyDescent="0.3">
      <c r="A105" s="925"/>
      <c r="B105" s="925"/>
      <c r="C105" s="925"/>
      <c r="D105" s="925"/>
      <c r="E105" s="925"/>
      <c r="F105" s="925"/>
      <c r="G105" s="967" t="str">
        <f>IF(G103="","",CEILING('Cálc. Sist. Extinção Automática'!AU15*1.25,100/'Cálc. Sist. Extinção Automática'!BK10))</f>
        <v/>
      </c>
      <c r="H105" s="929">
        <v>0.1</v>
      </c>
      <c r="I105" s="925">
        <v>0.2</v>
      </c>
      <c r="J105" s="929">
        <v>0.3</v>
      </c>
      <c r="K105" s="925">
        <v>0.4</v>
      </c>
      <c r="L105" s="929">
        <v>0.5</v>
      </c>
      <c r="M105" s="925">
        <v>0.6</v>
      </c>
      <c r="N105" s="929">
        <v>0.7</v>
      </c>
      <c r="O105" s="925">
        <v>0.8</v>
      </c>
      <c r="P105" s="929">
        <v>0.9</v>
      </c>
      <c r="Q105" s="968">
        <v>1</v>
      </c>
      <c r="R105" s="925"/>
      <c r="S105" s="925"/>
      <c r="T105" s="925"/>
      <c r="U105" s="925"/>
      <c r="V105" s="925"/>
    </row>
    <row r="106" spans="1:42" ht="16.75" x14ac:dyDescent="0.3">
      <c r="A106" s="925"/>
      <c r="B106" s="925"/>
      <c r="C106" s="942" t="s">
        <v>712</v>
      </c>
      <c r="D106" s="942" t="s">
        <v>702</v>
      </c>
      <c r="E106" s="942" t="str">
        <f>D16</f>
        <v>l/min</v>
      </c>
      <c r="F106" s="967" t="str">
        <f>IF(D17="","",IF($B$40="x",0,ROUND(D17,$E103)))</f>
        <v/>
      </c>
      <c r="G106" s="967" t="str">
        <f>IF(G103="","",0)</f>
        <v/>
      </c>
      <c r="H106" s="967" t="str">
        <f>IF($B$40="x",0,IF($G$105="","",ROUND(H105*$G$105,$E$103)))</f>
        <v/>
      </c>
      <c r="I106" s="967" t="str">
        <f t="shared" ref="I106:Q106" si="13">IF($B$40="x",0,IF($G$105="","",ROUND(I105*$G$105,$E$103)))</f>
        <v/>
      </c>
      <c r="J106" s="967" t="str">
        <f t="shared" si="13"/>
        <v/>
      </c>
      <c r="K106" s="967" t="str">
        <f t="shared" si="13"/>
        <v/>
      </c>
      <c r="L106" s="967" t="str">
        <f t="shared" si="13"/>
        <v/>
      </c>
      <c r="M106" s="967" t="str">
        <f t="shared" si="13"/>
        <v/>
      </c>
      <c r="N106" s="967" t="str">
        <f t="shared" si="13"/>
        <v/>
      </c>
      <c r="O106" s="967" t="str">
        <f t="shared" si="13"/>
        <v/>
      </c>
      <c r="P106" s="967" t="str">
        <f t="shared" si="13"/>
        <v/>
      </c>
      <c r="Q106" s="967" t="str">
        <f t="shared" si="13"/>
        <v/>
      </c>
      <c r="R106" s="925"/>
      <c r="S106" s="925"/>
      <c r="T106" s="925"/>
      <c r="U106" s="925"/>
      <c r="V106" s="925"/>
    </row>
    <row r="107" spans="1:42" ht="16.75" x14ac:dyDescent="0.3">
      <c r="A107" s="925"/>
      <c r="B107" s="925"/>
      <c r="C107" s="942" t="s">
        <v>713</v>
      </c>
      <c r="D107" s="942" t="s">
        <v>701</v>
      </c>
      <c r="E107" s="942" t="str">
        <f>C16</f>
        <v>kPa</v>
      </c>
      <c r="F107" s="967" t="str">
        <f>IF(D17="","",IF($B$40="x",0,ROUND($E$17+$F$17*F106^1.85,$D103)))</f>
        <v/>
      </c>
      <c r="G107" s="967" t="str">
        <f>IF($E$17="","",IF($B$40="x",0,ROUND($E$17+$F$17*G106^1.85,$D103)))</f>
        <v/>
      </c>
      <c r="H107" s="967" t="str">
        <f>IF($E$17="","",IF($B$40="x",0,ROUND($E$17+$F$17*H106^1.85,$D103)))</f>
        <v/>
      </c>
      <c r="I107" s="967" t="str">
        <f>IF($E$17="","",IF($B$40="x",0,ROUND($E$17+$F$17*I106^1.85,$D103)))</f>
        <v/>
      </c>
      <c r="J107" s="967" t="str">
        <f t="shared" ref="J107:Q107" si="14">IF($E$17="","",IF($B$40="x",0,ROUND($E$17+$F$17*J106^1.85,$D103)))</f>
        <v/>
      </c>
      <c r="K107" s="967" t="str">
        <f t="shared" si="14"/>
        <v/>
      </c>
      <c r="L107" s="967" t="str">
        <f t="shared" si="14"/>
        <v/>
      </c>
      <c r="M107" s="967" t="str">
        <f t="shared" si="14"/>
        <v/>
      </c>
      <c r="N107" s="967" t="str">
        <f t="shared" si="14"/>
        <v/>
      </c>
      <c r="O107" s="967" t="str">
        <f t="shared" si="14"/>
        <v/>
      </c>
      <c r="P107" s="967" t="str">
        <f t="shared" si="14"/>
        <v/>
      </c>
      <c r="Q107" s="967" t="str">
        <f t="shared" si="14"/>
        <v/>
      </c>
      <c r="R107" s="925"/>
      <c r="S107" s="925"/>
      <c r="T107" s="925"/>
      <c r="U107" s="925"/>
      <c r="V107" s="925"/>
    </row>
    <row r="108" spans="1:42" x14ac:dyDescent="0.3">
      <c r="A108" s="925"/>
      <c r="B108" s="925"/>
      <c r="C108" s="925"/>
      <c r="D108" s="968"/>
      <c r="E108" s="968"/>
      <c r="F108" s="925"/>
      <c r="G108" s="969"/>
      <c r="H108" s="969"/>
      <c r="I108" s="969"/>
      <c r="J108" s="969"/>
      <c r="K108" s="968"/>
      <c r="L108" s="968"/>
      <c r="M108" s="968"/>
      <c r="N108" s="968"/>
      <c r="O108" s="968"/>
      <c r="P108" s="968"/>
      <c r="Q108" s="968"/>
      <c r="R108" s="925"/>
      <c r="S108" s="925"/>
      <c r="T108" s="925"/>
      <c r="U108" s="925"/>
      <c r="V108" s="925"/>
    </row>
    <row r="109" spans="1:42" x14ac:dyDescent="0.3">
      <c r="A109" s="925"/>
      <c r="B109" s="925"/>
      <c r="C109" s="925" t="s">
        <v>707</v>
      </c>
      <c r="D109" s="968"/>
      <c r="E109" s="968"/>
      <c r="F109" s="968"/>
      <c r="G109" s="968"/>
      <c r="H109" s="968"/>
      <c r="I109" s="968"/>
      <c r="J109" s="968" t="s">
        <v>714</v>
      </c>
      <c r="K109" s="968"/>
      <c r="L109" s="968"/>
      <c r="M109" s="968"/>
      <c r="N109" s="968"/>
      <c r="O109" s="968"/>
      <c r="P109" s="925"/>
      <c r="Q109" s="968"/>
      <c r="R109" s="925"/>
      <c r="S109" s="925"/>
      <c r="T109" s="925"/>
      <c r="U109" s="925"/>
      <c r="V109" s="925"/>
    </row>
    <row r="110" spans="1:42" ht="16.75" x14ac:dyDescent="0.3">
      <c r="A110" s="925"/>
      <c r="B110" s="925"/>
      <c r="C110" s="925" t="str">
        <f>"Pressão total - P total ("&amp;E107&amp;")"</f>
        <v>Pressão total - P total (kPa)</v>
      </c>
      <c r="D110" s="942" t="s">
        <v>702</v>
      </c>
      <c r="E110" s="942" t="str">
        <f>D16</f>
        <v>l/min</v>
      </c>
      <c r="F110" s="970" t="str">
        <f>IF($B$42="x",0,D17)</f>
        <v/>
      </c>
      <c r="G110" s="970" t="str">
        <f>IF(G103="","",IF($B$42="x",0,0))</f>
        <v/>
      </c>
      <c r="H110" s="1007" t="str">
        <f>IF(D17="","",IF($B$42="x",0,F110/2))</f>
        <v/>
      </c>
      <c r="I110" s="1007" t="str">
        <f>IF(D17="","",IF($B$42="x",0,1.4*F110))</f>
        <v/>
      </c>
      <c r="J110" s="971" t="s">
        <v>715</v>
      </c>
      <c r="K110" s="972" t="str">
        <f>IF(D17="","",($I$111-$F$111)/($I$110-$F$110))</f>
        <v/>
      </c>
      <c r="L110" s="973"/>
      <c r="M110" s="974"/>
      <c r="N110" s="975"/>
      <c r="O110" s="975"/>
      <c r="P110" s="925"/>
      <c r="Q110" s="968"/>
      <c r="R110" s="925"/>
      <c r="S110" s="925"/>
      <c r="T110" s="925"/>
      <c r="U110" s="925"/>
      <c r="V110" s="925"/>
    </row>
    <row r="111" spans="1:42" ht="16.75" x14ac:dyDescent="0.3">
      <c r="A111" s="925"/>
      <c r="B111" s="925"/>
      <c r="C111" s="925" t="str">
        <f>"Caudal máximo - Q máx. ("&amp;E107&amp;")"</f>
        <v>Caudal máximo - Q máx. (kPa)</v>
      </c>
      <c r="D111" s="942" t="s">
        <v>701</v>
      </c>
      <c r="E111" s="942" t="str">
        <f>E107</f>
        <v>kPa</v>
      </c>
      <c r="F111" s="970" t="str">
        <f>IF($B$42="x",0,C17)</f>
        <v/>
      </c>
      <c r="G111" s="1497" t="str">
        <f>IF(D17="","",IF($B$42="x",0,1.15*$C$17))</f>
        <v/>
      </c>
      <c r="H111" s="1007" t="str">
        <f>IF(D17="","",IF($B$42="x",0,1.1*$C$17))</f>
        <v/>
      </c>
      <c r="I111" s="1007" t="str">
        <f>IF(D17="","",IF($B$42="x",0,0.8*$C$17))</f>
        <v/>
      </c>
      <c r="J111" s="971" t="s">
        <v>716</v>
      </c>
      <c r="K111" s="970" t="str">
        <f>IF(D17="","",$K$110*(-$I$110)+$I$111)</f>
        <v/>
      </c>
      <c r="L111" s="973"/>
      <c r="M111" s="973"/>
      <c r="N111" s="973"/>
      <c r="O111" s="973"/>
      <c r="P111" s="925"/>
      <c r="Q111" s="968"/>
      <c r="R111" s="925"/>
      <c r="S111" s="925"/>
      <c r="T111" s="925"/>
      <c r="U111" s="925"/>
      <c r="V111" s="925"/>
    </row>
    <row r="112" spans="1:42" ht="16.75" x14ac:dyDescent="0.3">
      <c r="A112" s="925"/>
      <c r="B112" s="925"/>
      <c r="C112" s="925" t="s">
        <v>717</v>
      </c>
      <c r="D112" s="942" t="s">
        <v>702</v>
      </c>
      <c r="E112" s="942" t="str">
        <f>E110</f>
        <v>l/min</v>
      </c>
      <c r="F112" s="976" t="s">
        <v>718</v>
      </c>
      <c r="G112" s="970" t="str">
        <f>IF(G103="","",IF($B$43="x",0,0))</f>
        <v/>
      </c>
      <c r="H112" s="1007" t="str">
        <f>IF($B$43="x",0,D17)</f>
        <v/>
      </c>
      <c r="I112" s="1007" t="str">
        <f>IF(D17="","",IF($B$43="x",0,1.4*D17))</f>
        <v/>
      </c>
      <c r="J112" s="977" t="s">
        <v>719</v>
      </c>
      <c r="K112" s="925"/>
      <c r="L112" s="925"/>
      <c r="M112" s="925"/>
      <c r="N112" s="925"/>
      <c r="O112" s="925"/>
      <c r="P112" s="925"/>
      <c r="Q112" s="925"/>
      <c r="R112" s="925"/>
      <c r="S112" s="925"/>
      <c r="T112" s="925"/>
      <c r="U112" s="925"/>
      <c r="V112" s="925"/>
    </row>
    <row r="113" spans="1:22" ht="16.75" x14ac:dyDescent="0.3">
      <c r="A113" s="925"/>
      <c r="B113" s="925"/>
      <c r="C113" s="925"/>
      <c r="D113" s="942" t="s">
        <v>701</v>
      </c>
      <c r="E113" s="942" t="str">
        <f>E111</f>
        <v>kPa</v>
      </c>
      <c r="F113" s="978"/>
      <c r="G113" s="970" t="str">
        <f>IF(D17="","",IF($B$43="x",0,1.4*$C$17))</f>
        <v/>
      </c>
      <c r="H113" s="1007" t="str">
        <f>IF(D17="","",IF($B$43="x",0,1.1*$C$17))</f>
        <v/>
      </c>
      <c r="I113" s="1007" t="str">
        <f>IF(D17="","",IF($B$43="x",0,0.9*$C$17))</f>
        <v/>
      </c>
      <c r="J113" s="925" t="s">
        <v>749</v>
      </c>
      <c r="K113" s="925"/>
      <c r="L113" s="925"/>
      <c r="M113" s="925"/>
      <c r="N113" s="925"/>
      <c r="O113" s="925"/>
      <c r="P113" s="925"/>
      <c r="Q113" s="925"/>
      <c r="R113" s="925"/>
      <c r="S113" s="925"/>
      <c r="T113" s="925"/>
      <c r="U113" s="925"/>
      <c r="V113" s="925"/>
    </row>
    <row r="114" spans="1:22" ht="16.75" x14ac:dyDescent="0.3">
      <c r="A114" s="925"/>
      <c r="B114" s="925"/>
      <c r="C114" s="925"/>
      <c r="D114" s="942" t="s">
        <v>702</v>
      </c>
      <c r="E114" s="942" t="str">
        <f>E112</f>
        <v>l/min</v>
      </c>
      <c r="F114" s="976" t="s">
        <v>720</v>
      </c>
      <c r="G114" s="970" t="str">
        <f>G112</f>
        <v/>
      </c>
      <c r="H114" s="1007" t="str">
        <f>H112</f>
        <v/>
      </c>
      <c r="I114" s="1007" t="str">
        <f>I112</f>
        <v/>
      </c>
      <c r="J114" s="979" t="s">
        <v>721</v>
      </c>
      <c r="K114" s="980" t="str">
        <f>IF($D$17="","",ROUND((-K110+(K110^2-4*F28*(-K111+E28))^(1/1.85))/(2*F28),$E$129))</f>
        <v/>
      </c>
      <c r="L114" s="981" t="str">
        <f>$E$110</f>
        <v>l/min</v>
      </c>
      <c r="M114" s="982" t="s">
        <v>722</v>
      </c>
      <c r="N114" s="980" t="str">
        <f>IF($D$17="","",ROUND(K116*$K$110+$K$111,$D$129))</f>
        <v/>
      </c>
      <c r="O114" s="981" t="str">
        <f>$E$111</f>
        <v>kPa</v>
      </c>
      <c r="P114" s="982" t="s">
        <v>723</v>
      </c>
      <c r="Q114" s="980" t="str">
        <f>IF($D$17="","",ROUND(N117*$K$110+$K$111,$D$129))</f>
        <v/>
      </c>
      <c r="R114" s="981" t="str">
        <f>$E$111</f>
        <v>kPa</v>
      </c>
      <c r="S114" s="982" t="s">
        <v>724</v>
      </c>
      <c r="T114" s="980" t="str">
        <f>IF($D$17="","",ROUND(Q117*$K$110+$K$111,$D$129))</f>
        <v/>
      </c>
      <c r="U114" s="981" t="str">
        <f>$E$111</f>
        <v>kPa</v>
      </c>
    </row>
    <row r="115" spans="1:22" ht="16.75" x14ac:dyDescent="0.3">
      <c r="A115" s="925"/>
      <c r="B115" s="925"/>
      <c r="C115" s="925"/>
      <c r="D115" s="942" t="s">
        <v>701</v>
      </c>
      <c r="E115" s="942" t="str">
        <f>E113</f>
        <v>kPa</v>
      </c>
      <c r="F115" s="978"/>
      <c r="G115" s="970" t="str">
        <f>IF($B$43="x",0,$C$17)</f>
        <v/>
      </c>
      <c r="H115" s="1007" t="str">
        <f>IF($B$43="x",0,$C$17)</f>
        <v/>
      </c>
      <c r="I115" s="1007" t="str">
        <f>IF($B$43="x",0,IF($C$17="","",0.7*$C$17))</f>
        <v/>
      </c>
      <c r="J115" s="979" t="s">
        <v>725</v>
      </c>
      <c r="K115" s="980" t="str">
        <f>IF($D$17="","",ROUND((-K110-(K110^2-4*F28*(-K111+E28))^(1/1.85))/(2*F28),$E$129))</f>
        <v/>
      </c>
      <c r="L115" s="981" t="str">
        <f>$E$110</f>
        <v>l/min</v>
      </c>
      <c r="M115" s="982" t="s">
        <v>726</v>
      </c>
      <c r="N115" s="980" t="str">
        <f>IF($D$17="","",ROUND($E$28+$F$28*K116^1.85,$D$129))</f>
        <v/>
      </c>
      <c r="O115" s="981" t="str">
        <f>$E$111</f>
        <v>kPa</v>
      </c>
      <c r="P115" s="982" t="s">
        <v>727</v>
      </c>
      <c r="Q115" s="980" t="str">
        <f>IF($D$17="","",ROUND($E$28+$F$28*N117^1.85,$D$129))</f>
        <v/>
      </c>
      <c r="R115" s="981" t="str">
        <f>$E$111</f>
        <v>kPa</v>
      </c>
      <c r="S115" s="982" t="s">
        <v>728</v>
      </c>
      <c r="T115" s="980" t="str">
        <f>IF($D$17="","",ROUND($E$28+$F$28*Q117^1.85,$D$129))</f>
        <v/>
      </c>
      <c r="U115" s="981" t="str">
        <f>$E$111</f>
        <v>kPa</v>
      </c>
    </row>
    <row r="116" spans="1:22" x14ac:dyDescent="0.3">
      <c r="A116" s="925"/>
      <c r="B116" s="925"/>
      <c r="C116" s="925"/>
      <c r="D116" s="940"/>
      <c r="E116" s="925"/>
      <c r="F116" s="925"/>
      <c r="G116" s="925"/>
      <c r="H116" s="925"/>
      <c r="I116" s="925"/>
      <c r="J116" s="925"/>
      <c r="K116" s="980" t="str">
        <f>IF(OR(K114="",K115=""),"",MAX(K114:K115))</f>
        <v/>
      </c>
      <c r="L116" s="981" t="str">
        <f>$E$110</f>
        <v>l/min</v>
      </c>
      <c r="M116" s="982" t="s">
        <v>729</v>
      </c>
      <c r="N116" s="980" t="str">
        <f>IF(D17="","",ROUND((N114+N115)/2,$D$129))</f>
        <v/>
      </c>
      <c r="O116" s="981" t="str">
        <f>$E$111</f>
        <v>kPa</v>
      </c>
      <c r="P116" s="982" t="s">
        <v>729</v>
      </c>
      <c r="Q116" s="980" t="str">
        <f>IF($D$17="","",ROUND((Q114+Q115)/2,$D$129))</f>
        <v/>
      </c>
      <c r="R116" s="981" t="str">
        <f>$E$111</f>
        <v>kPa</v>
      </c>
      <c r="T116" s="980" t="str">
        <f>IF($D$17="","",ROUND((T114+T115)/2,$D$129))</f>
        <v/>
      </c>
      <c r="U116" s="981" t="str">
        <f>$E$111</f>
        <v>kPa</v>
      </c>
    </row>
    <row r="117" spans="1:22" x14ac:dyDescent="0.3">
      <c r="A117" s="925"/>
      <c r="B117" s="925"/>
      <c r="C117" s="983" t="s">
        <v>750</v>
      </c>
      <c r="D117" s="940"/>
      <c r="E117" s="925"/>
      <c r="F117" s="925"/>
      <c r="G117" s="925"/>
      <c r="H117" s="925"/>
      <c r="I117" s="925"/>
      <c r="J117" s="925"/>
      <c r="K117" s="975"/>
      <c r="L117" s="925"/>
      <c r="M117" s="984"/>
      <c r="N117" s="1118" t="str">
        <f>IF($D$17="","",((N116-$E$28)/$F$28)^(1/1.85))</f>
        <v/>
      </c>
      <c r="O117" s="986" t="str">
        <f>$E$110</f>
        <v>l/min</v>
      </c>
      <c r="P117" s="984"/>
      <c r="Q117" s="1118" t="str">
        <f>IF($D$17="","",((Q116-$E$28)/$F$28)^(1/1.85))</f>
        <v/>
      </c>
      <c r="R117" s="986" t="str">
        <f>$E$110</f>
        <v>l/min</v>
      </c>
      <c r="S117" s="987"/>
      <c r="T117" s="1118" t="str">
        <f>IF($D$17="","",((T116-$E$28)/$F$28)^(1/1.85))</f>
        <v/>
      </c>
      <c r="U117" s="981" t="str">
        <f>$E$110</f>
        <v>l/min</v>
      </c>
    </row>
    <row r="118" spans="1:22" x14ac:dyDescent="0.3">
      <c r="A118" s="925"/>
      <c r="B118" s="925"/>
      <c r="C118" s="925"/>
      <c r="D118" s="930" t="s">
        <v>711</v>
      </c>
      <c r="E118" s="925"/>
      <c r="F118" s="925"/>
      <c r="G118" s="925"/>
      <c r="H118" s="925"/>
      <c r="I118" s="925"/>
      <c r="J118" s="925"/>
      <c r="K118" s="925"/>
      <c r="L118" s="925"/>
      <c r="M118" s="988" t="s">
        <v>730</v>
      </c>
      <c r="N118" s="989" t="str">
        <f>IF($D$17="","",ROUND(T117*$K$110+$K$111,$D$129))</f>
        <v/>
      </c>
      <c r="O118" s="990" t="str">
        <f>$E$111</f>
        <v>kPa</v>
      </c>
      <c r="P118" s="988" t="s">
        <v>731</v>
      </c>
      <c r="Q118" s="989" t="str">
        <f>IF($D$17="","",ROUND(N121*$K$110+$K$111,$D$129))</f>
        <v/>
      </c>
      <c r="R118" s="990" t="str">
        <f>$E$111</f>
        <v>kPa</v>
      </c>
      <c r="S118" s="988" t="s">
        <v>732</v>
      </c>
      <c r="T118" s="989" t="str">
        <f>IF($D$17="","",ROUND(Q121*$K$110+$K$111,$D$129))</f>
        <v/>
      </c>
      <c r="U118" s="981" t="str">
        <f>$E$111</f>
        <v>kPa</v>
      </c>
      <c r="V118" s="925"/>
    </row>
    <row r="119" spans="1:22" x14ac:dyDescent="0.3">
      <c r="A119" s="925"/>
      <c r="B119" s="925"/>
      <c r="C119" s="925"/>
      <c r="D119" s="940" t="s">
        <v>696</v>
      </c>
      <c r="E119" s="940" t="s">
        <v>45</v>
      </c>
      <c r="F119" s="925"/>
      <c r="G119" s="925"/>
      <c r="H119" s="925"/>
      <c r="I119" s="925"/>
      <c r="J119" s="925"/>
      <c r="K119" s="925"/>
      <c r="L119" s="925"/>
      <c r="M119" s="982" t="s">
        <v>733</v>
      </c>
      <c r="N119" s="980" t="str">
        <f>IF($D$17="","",ROUND($E$28+$F$28*T117^1.85,$D$129))</f>
        <v/>
      </c>
      <c r="O119" s="981" t="str">
        <f>$E$111</f>
        <v>kPa</v>
      </c>
      <c r="P119" s="982" t="s">
        <v>734</v>
      </c>
      <c r="Q119" s="980" t="str">
        <f>IF($D$17="","",ROUND($E$28+$F$28*N121^1.85,$D$129))</f>
        <v/>
      </c>
      <c r="R119" s="981" t="str">
        <f>$E$111</f>
        <v>kPa</v>
      </c>
      <c r="S119" s="982" t="s">
        <v>735</v>
      </c>
      <c r="T119" s="980" t="str">
        <f>IF($D$17="","",ROUND($E$28+$F$28*Q121^1.85,$D$129))</f>
        <v/>
      </c>
      <c r="U119" s="981" t="str">
        <f>$E$111</f>
        <v>kPa</v>
      </c>
    </row>
    <row r="120" spans="1:22" ht="16.75" x14ac:dyDescent="0.3">
      <c r="A120" s="925"/>
      <c r="B120" s="925"/>
      <c r="C120" s="925" t="s">
        <v>736</v>
      </c>
      <c r="D120" s="964">
        <f>D103</f>
        <v>0.1</v>
      </c>
      <c r="E120" s="964">
        <f>E103</f>
        <v>0.1</v>
      </c>
      <c r="F120" s="942" t="s">
        <v>702</v>
      </c>
      <c r="G120" s="965" t="str">
        <f>IF(D17="","",IF($B$40="x",0,ROUND(D22,E120)))</f>
        <v/>
      </c>
      <c r="H120" s="965" t="str">
        <f>G120&amp;" "&amp;'Cálc. Sist. Extinção Automática'!$BG$4</f>
        <v xml:space="preserve"> l/min</v>
      </c>
      <c r="I120" s="1500" t="str">
        <f>IF(F22="","",((I121-E22)/F22)^(1/1.85))</f>
        <v/>
      </c>
      <c r="J120" s="925"/>
      <c r="K120" s="925"/>
      <c r="L120" s="925"/>
      <c r="M120" s="982" t="s">
        <v>729</v>
      </c>
      <c r="N120" s="980" t="str">
        <f>IF($D$17="","",ROUND((N118+N119)/2,$D$129))</f>
        <v/>
      </c>
      <c r="O120" s="981" t="str">
        <f>$E$111</f>
        <v>kPa</v>
      </c>
      <c r="P120" s="982" t="s">
        <v>729</v>
      </c>
      <c r="Q120" s="980" t="str">
        <f>IF($D$17="","",ROUND((Q118+Q119)/2,$D$129))</f>
        <v/>
      </c>
      <c r="R120" s="981" t="str">
        <f>$E$111</f>
        <v>kPa</v>
      </c>
      <c r="S120" s="982" t="s">
        <v>729</v>
      </c>
      <c r="T120" s="980" t="str">
        <f>IFERROR(IF($D$17="","",ROUND((T118+T119)/2,$D$129)),"")</f>
        <v/>
      </c>
      <c r="U120" s="981" t="str">
        <f>$E$111</f>
        <v>kPa</v>
      </c>
    </row>
    <row r="121" spans="1:22" ht="16.75" x14ac:dyDescent="0.3">
      <c r="A121" s="925"/>
      <c r="B121" s="925"/>
      <c r="C121" s="925"/>
      <c r="D121" s="966">
        <f>D104</f>
        <v>1</v>
      </c>
      <c r="E121" s="966">
        <f>E104</f>
        <v>1</v>
      </c>
      <c r="F121" s="942" t="s">
        <v>701</v>
      </c>
      <c r="G121" s="965" t="str">
        <f>IF(D17="","",IF($B$40="x",0,ROUND($E$22+$F$22*D22^1.85,D120)))</f>
        <v/>
      </c>
      <c r="H121" s="965" t="str">
        <f>G121&amp;" "&amp;'Cálc. Sist. Extinção Automática'!$BL$4</f>
        <v xml:space="preserve"> kPa</v>
      </c>
      <c r="I121" s="1500" t="str">
        <f>IF(D17="","",1.2*$C$17)</f>
        <v/>
      </c>
      <c r="J121" s="925"/>
      <c r="K121" s="925"/>
      <c r="L121" s="925"/>
      <c r="M121" s="987"/>
      <c r="N121" s="985" t="str">
        <f>IF($D$17="","",((N120-$E$28)/$F$28)^(1/1.85))</f>
        <v/>
      </c>
      <c r="O121" s="986" t="str">
        <f>$E$110</f>
        <v>l/min</v>
      </c>
      <c r="P121" s="987"/>
      <c r="Q121" s="1118" t="str">
        <f>IF($D$17="","",((Q120-$E$28)/$F$28)^(1/1.85))</f>
        <v/>
      </c>
      <c r="R121" s="986" t="str">
        <f>$E$110</f>
        <v>l/min</v>
      </c>
      <c r="T121" s="1119" t="str">
        <f>IFERROR(IF($D$17="","",((T120-$E$28)/$F$28)^(1/1.85)),"")</f>
        <v/>
      </c>
      <c r="U121" s="981" t="str">
        <f>$E$110</f>
        <v>l/min</v>
      </c>
      <c r="V121" s="925"/>
    </row>
    <row r="122" spans="1:22" x14ac:dyDescent="0.3">
      <c r="A122" s="925"/>
      <c r="B122" s="925"/>
      <c r="C122" s="925"/>
      <c r="D122" s="925"/>
      <c r="E122" s="925"/>
      <c r="F122" s="925"/>
      <c r="G122" s="1048" t="str">
        <f>IF(G103="","",'Cálc. Sist. Extinção Automática'!$AU$6)</f>
        <v/>
      </c>
      <c r="H122" s="925">
        <v>0.1</v>
      </c>
      <c r="I122" s="925">
        <v>0.2</v>
      </c>
      <c r="J122" s="925">
        <v>0.3</v>
      </c>
      <c r="K122" s="925">
        <v>0.4</v>
      </c>
      <c r="L122" s="925">
        <v>0.5</v>
      </c>
      <c r="M122" s="925">
        <v>0.6</v>
      </c>
      <c r="N122" s="925">
        <v>0.7</v>
      </c>
      <c r="O122" s="925">
        <v>0.8</v>
      </c>
      <c r="P122" s="925">
        <v>0.9</v>
      </c>
      <c r="Q122" s="968">
        <v>1</v>
      </c>
      <c r="R122" s="991"/>
      <c r="S122" s="925" t="s">
        <v>737</v>
      </c>
      <c r="T122" s="925"/>
      <c r="U122" s="925"/>
      <c r="V122" s="925"/>
    </row>
    <row r="123" spans="1:22" ht="16.75" x14ac:dyDescent="0.3">
      <c r="A123" s="925"/>
      <c r="B123" s="925"/>
      <c r="C123" s="942" t="s">
        <v>712</v>
      </c>
      <c r="D123" s="942" t="s">
        <v>702</v>
      </c>
      <c r="E123" s="942" t="str">
        <f>E106</f>
        <v>l/min</v>
      </c>
      <c r="F123" s="967" t="str">
        <f>IF(D17="","",IF($B$40="x",0,ROUND(D22,$E120)))</f>
        <v/>
      </c>
      <c r="G123" s="967" t="str">
        <f>IF(G120="","",0)</f>
        <v/>
      </c>
      <c r="H123" s="1495" t="str">
        <f t="shared" ref="H123:P123" si="15">IF($B$40="x",0,IF($G$122="","",ROUND(H122*$I$120,$E$103)))</f>
        <v/>
      </c>
      <c r="I123" s="1495" t="str">
        <f t="shared" si="15"/>
        <v/>
      </c>
      <c r="J123" s="1495" t="str">
        <f t="shared" si="15"/>
        <v/>
      </c>
      <c r="K123" s="1495" t="str">
        <f t="shared" si="15"/>
        <v/>
      </c>
      <c r="L123" s="1495" t="str">
        <f t="shared" si="15"/>
        <v/>
      </c>
      <c r="M123" s="1495" t="str">
        <f t="shared" si="15"/>
        <v/>
      </c>
      <c r="N123" s="1495" t="str">
        <f t="shared" si="15"/>
        <v/>
      </c>
      <c r="O123" s="1495" t="str">
        <f t="shared" si="15"/>
        <v/>
      </c>
      <c r="P123" s="1495" t="str">
        <f t="shared" si="15"/>
        <v/>
      </c>
      <c r="Q123" s="1495" t="str">
        <f>IF($B$40="x",0,IF($G$122="","",ROUND(Q122*$I$120,$E$103)))</f>
        <v/>
      </c>
      <c r="R123" s="992"/>
      <c r="S123" s="993" t="s">
        <v>701</v>
      </c>
      <c r="T123" s="994" t="str">
        <f>IF($B$41="x",0,IF(T120="","",ROUND(T120,D120)))</f>
        <v/>
      </c>
      <c r="U123" s="981" t="str">
        <f>$E$111</f>
        <v>kPa</v>
      </c>
      <c r="V123" s="925"/>
    </row>
    <row r="124" spans="1:22" ht="16.75" x14ac:dyDescent="0.3">
      <c r="A124" s="925"/>
      <c r="B124" s="925"/>
      <c r="C124" s="942" t="s">
        <v>713</v>
      </c>
      <c r="D124" s="942" t="s">
        <v>701</v>
      </c>
      <c r="E124" s="942" t="str">
        <f>E107</f>
        <v>kPa</v>
      </c>
      <c r="F124" s="967" t="str">
        <f>IF(D17="","",IF($B$40="x",0,ROUND($E$22+$F$22*F123^1.85,$D120)))</f>
        <v/>
      </c>
      <c r="G124" s="967" t="str">
        <f>IF($D$17="","",IF($B$40="x",0,ROUND($E$22+$F$22*G123^1.85,$D120)))</f>
        <v/>
      </c>
      <c r="H124" s="967" t="str">
        <f>IF($D$17="","",IF($B$40="x",0,ROUND($E$22+$F$22*H123^1.85,$D120)))</f>
        <v/>
      </c>
      <c r="I124" s="967" t="str">
        <f>IF($D$17="","",IF($B$40="x",0,ROUND($E$22+$F$22*I123^1.85,$D120)))</f>
        <v/>
      </c>
      <c r="J124" s="967" t="str">
        <f t="shared" ref="J124:Q124" si="16">IF($D$17="","",IF($B$40="x",0,ROUND($E$22+$F$22*J123^1.85,$D120)))</f>
        <v/>
      </c>
      <c r="K124" s="967" t="str">
        <f t="shared" si="16"/>
        <v/>
      </c>
      <c r="L124" s="967" t="str">
        <f t="shared" si="16"/>
        <v/>
      </c>
      <c r="M124" s="967" t="str">
        <f t="shared" si="16"/>
        <v/>
      </c>
      <c r="N124" s="967" t="str">
        <f t="shared" si="16"/>
        <v/>
      </c>
      <c r="O124" s="967" t="str">
        <f t="shared" si="16"/>
        <v/>
      </c>
      <c r="P124" s="967" t="str">
        <f t="shared" si="16"/>
        <v/>
      </c>
      <c r="Q124" s="967" t="str">
        <f t="shared" si="16"/>
        <v/>
      </c>
      <c r="R124" s="992"/>
      <c r="S124" s="993" t="s">
        <v>702</v>
      </c>
      <c r="T124" s="994" t="str">
        <f>IF($B$41="x",0,IF(T121="","",ROUND(T121,E120)))</f>
        <v/>
      </c>
      <c r="U124" s="981" t="str">
        <f>$E$110</f>
        <v>l/min</v>
      </c>
      <c r="V124" s="925"/>
    </row>
    <row r="125" spans="1:22" x14ac:dyDescent="0.3">
      <c r="A125" s="925"/>
      <c r="B125" s="925"/>
      <c r="C125" s="925"/>
      <c r="D125" s="940"/>
      <c r="E125" s="925"/>
      <c r="F125" s="925"/>
      <c r="G125" s="925"/>
      <c r="H125" s="925"/>
      <c r="I125" s="925"/>
      <c r="J125" s="925"/>
      <c r="K125" s="925"/>
      <c r="L125" s="925"/>
      <c r="M125" s="925"/>
      <c r="N125" s="925"/>
      <c r="O125" s="925"/>
      <c r="P125" s="925"/>
      <c r="Q125" s="925"/>
      <c r="R125" s="925"/>
      <c r="S125" s="925"/>
      <c r="T125" s="925"/>
      <c r="U125" s="925"/>
      <c r="V125" s="925"/>
    </row>
    <row r="126" spans="1:22" x14ac:dyDescent="0.3">
      <c r="A126" s="925"/>
      <c r="B126" s="925"/>
      <c r="C126" s="995" t="s">
        <v>751</v>
      </c>
      <c r="D126" s="940"/>
      <c r="E126" s="925"/>
      <c r="F126" s="925"/>
      <c r="G126" s="925"/>
      <c r="H126" s="925"/>
      <c r="I126" s="925"/>
      <c r="J126" s="925"/>
      <c r="K126" s="925"/>
      <c r="L126" s="925"/>
      <c r="M126" s="925"/>
      <c r="N126" s="925"/>
      <c r="O126" s="925"/>
      <c r="P126" s="925"/>
      <c r="Q126" s="925"/>
      <c r="R126" s="925"/>
      <c r="S126" s="925"/>
      <c r="T126" s="925"/>
      <c r="U126" s="925"/>
      <c r="V126" s="925"/>
    </row>
    <row r="127" spans="1:22" x14ac:dyDescent="0.3">
      <c r="A127" s="925"/>
      <c r="B127" s="925"/>
      <c r="C127" s="925"/>
      <c r="D127" s="930" t="s">
        <v>711</v>
      </c>
      <c r="E127" s="925"/>
      <c r="F127" s="925"/>
      <c r="G127" s="925"/>
      <c r="H127" s="925"/>
      <c r="I127" s="925"/>
      <c r="J127" s="925"/>
      <c r="K127" s="925"/>
      <c r="L127" s="925"/>
      <c r="M127" s="925"/>
      <c r="N127" s="925"/>
      <c r="O127" s="925"/>
      <c r="P127" s="925"/>
      <c r="Q127" s="925"/>
      <c r="R127" s="925"/>
      <c r="S127" s="925"/>
      <c r="T127" s="925"/>
      <c r="U127" s="925"/>
      <c r="V127" s="925"/>
    </row>
    <row r="128" spans="1:22" x14ac:dyDescent="0.3">
      <c r="A128" s="925"/>
      <c r="B128" s="925"/>
      <c r="C128" s="925"/>
      <c r="D128" s="940" t="s">
        <v>696</v>
      </c>
      <c r="E128" s="940" t="s">
        <v>45</v>
      </c>
      <c r="F128" s="925"/>
      <c r="G128" s="925"/>
      <c r="H128" s="925"/>
      <c r="I128" s="925"/>
      <c r="J128" s="925"/>
      <c r="K128" s="925"/>
      <c r="L128" s="925"/>
      <c r="M128" s="925"/>
      <c r="N128" s="925"/>
      <c r="O128" s="925"/>
      <c r="P128" s="925"/>
      <c r="Q128" s="925"/>
      <c r="R128" s="925"/>
      <c r="S128" s="925"/>
      <c r="T128" s="925"/>
      <c r="U128" s="925"/>
      <c r="V128" s="925"/>
    </row>
    <row r="129" spans="1:22" ht="16.75" x14ac:dyDescent="0.3">
      <c r="A129" s="925"/>
      <c r="B129" s="925"/>
      <c r="C129" s="925" t="s">
        <v>876</v>
      </c>
      <c r="D129" s="964">
        <f>D120</f>
        <v>0.1</v>
      </c>
      <c r="E129" s="964">
        <f>E120</f>
        <v>0.1</v>
      </c>
      <c r="F129" s="942" t="s">
        <v>702</v>
      </c>
      <c r="G129" s="965" t="str">
        <f>IF(D17="","",IF($B$41="x",0,ROUND(D28,E129)))</f>
        <v/>
      </c>
      <c r="H129" s="965" t="str">
        <f>G129&amp;" "&amp;'Cálc. Sist. Extinção Automática'!$BG$4</f>
        <v xml:space="preserve"> l/min</v>
      </c>
      <c r="I129" s="925"/>
      <c r="J129" s="925"/>
      <c r="K129" s="925"/>
      <c r="L129" s="925"/>
      <c r="M129" s="925"/>
      <c r="N129" s="925"/>
      <c r="O129" s="925"/>
      <c r="P129" s="925"/>
      <c r="Q129" s="925"/>
      <c r="R129" s="925"/>
      <c r="S129" s="925"/>
      <c r="T129" s="925"/>
      <c r="U129" s="925"/>
      <c r="V129" s="925"/>
    </row>
    <row r="130" spans="1:22" ht="16.75" x14ac:dyDescent="0.3">
      <c r="A130" s="925"/>
      <c r="B130" s="925"/>
      <c r="C130" s="925"/>
      <c r="D130" s="966">
        <f>D121</f>
        <v>1</v>
      </c>
      <c r="E130" s="966">
        <f>E121</f>
        <v>1</v>
      </c>
      <c r="F130" s="942" t="s">
        <v>701</v>
      </c>
      <c r="G130" s="965" t="str">
        <f>IF(D17="","",IF($B$41="x",0,ROUND($E$28+$F$28*D28^1.85,D129)))</f>
        <v/>
      </c>
      <c r="H130" s="965" t="str">
        <f>G130&amp;" "&amp;'Cálc. Sist. Extinção Automática'!$BL$4</f>
        <v xml:space="preserve"> kPa</v>
      </c>
      <c r="I130" s="925"/>
      <c r="J130" s="925"/>
      <c r="K130" s="925"/>
      <c r="L130" s="925"/>
      <c r="M130" s="925"/>
      <c r="N130" s="925"/>
      <c r="O130" s="925"/>
      <c r="P130" s="925"/>
      <c r="Q130" s="925"/>
      <c r="R130" s="925"/>
      <c r="S130" s="925"/>
      <c r="T130" s="925"/>
      <c r="U130" s="925"/>
      <c r="V130" s="925"/>
    </row>
    <row r="131" spans="1:22" x14ac:dyDescent="0.3">
      <c r="A131" s="925"/>
      <c r="B131" s="925"/>
      <c r="C131" s="925"/>
      <c r="D131" s="1104" t="str">
        <f>IF(OR(E17="",E28=""),"",E17/E28)</f>
        <v/>
      </c>
      <c r="E131" s="1105">
        <f>IF(AND(D131&gt;=0.9,D131&lt;2),1.1,IF(AND(D131&gt;=2,D131&lt;4),1.15,IF(AND(D131&gt;=4,D131&lt;6),1.2,IF(AND(D131&gt;=6,D131&lt;8),1.25,IF(AND(D131&gt;=8,D131&lt;10),1.3,1.4)))))</f>
        <v>1.4</v>
      </c>
      <c r="G131" s="967" t="str">
        <f>IF(G103="","",CEILING('Cálc. Sist. Extinção Automática'!AU15*1.25*E131,100/'Cálc. Sist. Extinção Automática'!BK10))</f>
        <v/>
      </c>
      <c r="H131" s="929">
        <v>0.1</v>
      </c>
      <c r="I131" s="925">
        <v>0.2</v>
      </c>
      <c r="J131" s="929">
        <v>0.3</v>
      </c>
      <c r="K131" s="925">
        <v>0.4</v>
      </c>
      <c r="L131" s="929">
        <v>0.5</v>
      </c>
      <c r="M131" s="925">
        <v>0.6</v>
      </c>
      <c r="N131" s="929">
        <v>0.7</v>
      </c>
      <c r="O131" s="925">
        <v>0.8</v>
      </c>
      <c r="P131" s="929">
        <v>0.9</v>
      </c>
      <c r="Q131" s="968">
        <v>1</v>
      </c>
      <c r="R131" s="925"/>
      <c r="S131" s="925"/>
      <c r="T131" s="925"/>
      <c r="U131" s="925"/>
      <c r="V131" s="925"/>
    </row>
    <row r="132" spans="1:22" ht="16.75" x14ac:dyDescent="0.3">
      <c r="A132" s="925"/>
      <c r="B132" s="925"/>
      <c r="C132" s="942" t="s">
        <v>712</v>
      </c>
      <c r="D132" s="942" t="s">
        <v>702</v>
      </c>
      <c r="E132" s="942" t="str">
        <f>E123</f>
        <v>l/min</v>
      </c>
      <c r="F132" s="967" t="str">
        <f>IF(D17="","",IF($B$41="x",0,ROUND(D28,$E129)))</f>
        <v/>
      </c>
      <c r="G132" s="967" t="str">
        <f>IF(G129="","",0)</f>
        <v/>
      </c>
      <c r="H132" s="967" t="str">
        <f t="shared" ref="H132:Q132" si="17">IF(OR($B$41="x",$C$24=""),"",ROUND(H131*$G$131,$E$129))</f>
        <v/>
      </c>
      <c r="I132" s="967" t="str">
        <f t="shared" si="17"/>
        <v/>
      </c>
      <c r="J132" s="967" t="str">
        <f t="shared" si="17"/>
        <v/>
      </c>
      <c r="K132" s="967" t="str">
        <f t="shared" si="17"/>
        <v/>
      </c>
      <c r="L132" s="967" t="str">
        <f t="shared" si="17"/>
        <v/>
      </c>
      <c r="M132" s="967" t="str">
        <f t="shared" si="17"/>
        <v/>
      </c>
      <c r="N132" s="967" t="str">
        <f t="shared" si="17"/>
        <v/>
      </c>
      <c r="O132" s="967" t="str">
        <f t="shared" si="17"/>
        <v/>
      </c>
      <c r="P132" s="967" t="str">
        <f t="shared" si="17"/>
        <v/>
      </c>
      <c r="Q132" s="967" t="str">
        <f t="shared" si="17"/>
        <v/>
      </c>
      <c r="R132" s="925"/>
      <c r="S132" s="925"/>
      <c r="T132" s="925"/>
      <c r="U132" s="925"/>
      <c r="V132" s="925"/>
    </row>
    <row r="133" spans="1:22" ht="16.75" x14ac:dyDescent="0.3">
      <c r="A133" s="925"/>
      <c r="B133" s="925"/>
      <c r="C133" s="942" t="s">
        <v>713</v>
      </c>
      <c r="D133" s="942" t="s">
        <v>701</v>
      </c>
      <c r="E133" s="942" t="str">
        <f>E124</f>
        <v>kPa</v>
      </c>
      <c r="F133" s="967" t="str">
        <f>IF(D17="","",IF($B$41="x",0,ROUND($E$28+$F$28*F132^1.85,$D129)))</f>
        <v/>
      </c>
      <c r="G133" s="967" t="str">
        <f t="shared" ref="G133:Q133" si="18">IF($D$17="","",IF($B$41="x",0,ROUND($E$28+$F$28*G132^1.85,$D129)))</f>
        <v/>
      </c>
      <c r="H133" s="967" t="str">
        <f t="shared" si="18"/>
        <v/>
      </c>
      <c r="I133" s="967" t="str">
        <f t="shared" si="18"/>
        <v/>
      </c>
      <c r="J133" s="967" t="str">
        <f t="shared" si="18"/>
        <v/>
      </c>
      <c r="K133" s="967" t="str">
        <f t="shared" si="18"/>
        <v/>
      </c>
      <c r="L133" s="967" t="str">
        <f t="shared" si="18"/>
        <v/>
      </c>
      <c r="M133" s="967" t="str">
        <f t="shared" si="18"/>
        <v/>
      </c>
      <c r="N133" s="967" t="str">
        <f t="shared" si="18"/>
        <v/>
      </c>
      <c r="O133" s="967" t="str">
        <f t="shared" si="18"/>
        <v/>
      </c>
      <c r="P133" s="967" t="str">
        <f t="shared" si="18"/>
        <v/>
      </c>
      <c r="Q133" s="967" t="str">
        <f t="shared" si="18"/>
        <v/>
      </c>
      <c r="R133" s="925"/>
      <c r="S133" s="925"/>
      <c r="T133" s="925"/>
      <c r="U133" s="925"/>
      <c r="V133" s="925"/>
    </row>
    <row r="134" spans="1:22" x14ac:dyDescent="0.3">
      <c r="A134" s="925"/>
      <c r="B134" s="925"/>
      <c r="C134" s="925"/>
      <c r="D134" s="940"/>
      <c r="E134" s="925"/>
      <c r="F134" s="925"/>
      <c r="G134" s="925"/>
      <c r="H134" s="925"/>
      <c r="I134" s="925"/>
      <c r="J134" s="925"/>
      <c r="K134" s="925"/>
      <c r="L134" s="925"/>
      <c r="M134" s="925"/>
      <c r="N134" s="925"/>
      <c r="O134" s="925"/>
      <c r="P134" s="925"/>
      <c r="Q134" s="925"/>
      <c r="R134" s="925"/>
      <c r="S134" s="925"/>
      <c r="T134" s="925"/>
      <c r="U134" s="925"/>
      <c r="V134" s="925"/>
    </row>
    <row r="135" spans="1:22" x14ac:dyDescent="0.3">
      <c r="A135" s="925"/>
      <c r="B135" s="925"/>
      <c r="C135" s="995" t="s">
        <v>752</v>
      </c>
      <c r="D135" s="940"/>
      <c r="E135" s="925"/>
      <c r="F135" s="925"/>
      <c r="G135" s="925"/>
      <c r="H135" s="925"/>
      <c r="I135" s="925"/>
      <c r="J135" s="925"/>
      <c r="K135" s="925"/>
      <c r="L135" s="925"/>
      <c r="M135" s="925"/>
      <c r="N135" s="925"/>
      <c r="O135" s="925"/>
      <c r="P135" s="925"/>
      <c r="Q135" s="925"/>
      <c r="R135" s="925"/>
      <c r="S135" s="925"/>
      <c r="T135" s="925"/>
      <c r="U135" s="925"/>
      <c r="V135" s="925"/>
    </row>
    <row r="136" spans="1:22" x14ac:dyDescent="0.3">
      <c r="A136" s="925"/>
      <c r="B136" s="925"/>
      <c r="C136" s="925"/>
      <c r="D136" s="930" t="s">
        <v>711</v>
      </c>
      <c r="E136" s="925"/>
      <c r="F136" s="925"/>
      <c r="G136" s="925"/>
      <c r="H136" s="925"/>
      <c r="I136" s="925"/>
      <c r="J136" s="925"/>
      <c r="K136" s="925"/>
      <c r="L136" s="925"/>
      <c r="M136" s="925"/>
      <c r="N136" s="925"/>
      <c r="O136" s="925"/>
      <c r="P136" s="925"/>
      <c r="Q136" s="925"/>
      <c r="R136" s="925"/>
      <c r="S136" s="925"/>
      <c r="T136" s="925"/>
      <c r="U136" s="925"/>
      <c r="V136" s="925"/>
    </row>
    <row r="137" spans="1:22" x14ac:dyDescent="0.3">
      <c r="A137" s="925"/>
      <c r="B137" s="925"/>
      <c r="C137" s="925"/>
      <c r="D137" s="940" t="s">
        <v>696</v>
      </c>
      <c r="E137" s="940" t="s">
        <v>45</v>
      </c>
      <c r="F137" s="925"/>
      <c r="G137" s="925"/>
      <c r="H137" s="925"/>
      <c r="I137" s="925"/>
      <c r="J137" s="925"/>
      <c r="K137" s="925"/>
      <c r="L137" s="925"/>
      <c r="M137" s="925"/>
      <c r="N137" s="925"/>
      <c r="O137" s="925"/>
      <c r="P137" s="925"/>
      <c r="Q137" s="925"/>
      <c r="R137" s="925"/>
      <c r="S137" s="925"/>
      <c r="T137" s="925"/>
      <c r="U137" s="925"/>
      <c r="V137" s="925"/>
    </row>
    <row r="138" spans="1:22" ht="16.75" x14ac:dyDescent="0.3">
      <c r="A138" s="925"/>
      <c r="B138" s="925"/>
      <c r="C138" s="925" t="s">
        <v>738</v>
      </c>
      <c r="D138" s="964">
        <f>D129</f>
        <v>0.1</v>
      </c>
      <c r="E138" s="964">
        <f>E129</f>
        <v>0.1</v>
      </c>
      <c r="F138" s="942" t="s">
        <v>702</v>
      </c>
      <c r="G138" s="965" t="str">
        <f>IF(D17="","",IF($B$41="x",0,ROUND(D33,E138)))</f>
        <v/>
      </c>
      <c r="H138" s="965" t="str">
        <f>G138&amp;" "&amp;'Cálc. Sist. Extinção Automática'!$BG$4</f>
        <v xml:space="preserve"> l/min</v>
      </c>
      <c r="I138" s="1499" t="str">
        <f>IF(F33="","",((I139-E33)/F33)^(1/1.85))</f>
        <v/>
      </c>
      <c r="J138" s="925"/>
      <c r="K138" s="925"/>
      <c r="L138" s="925"/>
      <c r="M138" s="925"/>
      <c r="N138" s="925"/>
      <c r="O138" s="925"/>
      <c r="P138" s="925"/>
      <c r="Q138" s="925"/>
      <c r="R138" s="925"/>
      <c r="S138" s="925"/>
      <c r="T138" s="925"/>
      <c r="U138" s="925"/>
      <c r="V138" s="925"/>
    </row>
    <row r="139" spans="1:22" ht="16.75" x14ac:dyDescent="0.3">
      <c r="A139" s="925"/>
      <c r="B139" s="925"/>
      <c r="C139" s="925"/>
      <c r="D139" s="966">
        <f>D130</f>
        <v>1</v>
      </c>
      <c r="E139" s="966">
        <f>E130</f>
        <v>1</v>
      </c>
      <c r="F139" s="942" t="s">
        <v>701</v>
      </c>
      <c r="G139" s="965" t="str">
        <f>IF(D17="","",IF($B$41="x",0,ROUND($E$33+$F$33*D33^1.85,D138)))</f>
        <v/>
      </c>
      <c r="H139" s="965" t="str">
        <f>G139&amp;" "&amp;'Cálc. Sist. Extinção Automática'!$BL$4</f>
        <v xml:space="preserve"> kPa</v>
      </c>
      <c r="I139" s="1500" t="str">
        <f>IF(D17="","",1.2*$C$17)</f>
        <v/>
      </c>
      <c r="J139" s="925"/>
      <c r="K139" s="925"/>
      <c r="L139" s="925"/>
      <c r="M139" s="925"/>
      <c r="N139" s="925"/>
      <c r="O139" s="925"/>
      <c r="P139" s="925"/>
      <c r="Q139" s="925"/>
      <c r="R139" s="925"/>
      <c r="S139" s="925"/>
      <c r="T139" s="925"/>
      <c r="U139" s="925"/>
      <c r="V139" s="925"/>
    </row>
    <row r="140" spans="1:22" x14ac:dyDescent="0.3">
      <c r="A140" s="925"/>
      <c r="B140" s="925"/>
      <c r="C140" s="925"/>
      <c r="E140" s="1496">
        <f>E131+0.5</f>
        <v>1.9</v>
      </c>
      <c r="G140" s="1048" t="str">
        <f>IF(G138="","",'Cálc. Sist. Extinção Automática'!$AU$6)</f>
        <v/>
      </c>
      <c r="H140" s="929">
        <v>0.1</v>
      </c>
      <c r="I140" s="929">
        <v>0.2</v>
      </c>
      <c r="J140" s="929">
        <v>0.3</v>
      </c>
      <c r="K140" s="929">
        <v>0.4</v>
      </c>
      <c r="L140" s="929">
        <v>0.5</v>
      </c>
      <c r="M140" s="929">
        <v>0.6</v>
      </c>
      <c r="N140" s="929">
        <v>0.7</v>
      </c>
      <c r="O140" s="929">
        <v>0.8</v>
      </c>
      <c r="P140" s="929">
        <v>0.9</v>
      </c>
      <c r="Q140" s="1498">
        <v>1</v>
      </c>
      <c r="R140" s="925"/>
      <c r="S140" s="925"/>
      <c r="T140" s="925"/>
      <c r="U140" s="925"/>
      <c r="V140" s="925"/>
    </row>
    <row r="141" spans="1:22" ht="16.75" x14ac:dyDescent="0.3">
      <c r="A141" s="925"/>
      <c r="B141" s="925"/>
      <c r="C141" s="942" t="s">
        <v>712</v>
      </c>
      <c r="D141" s="942" t="s">
        <v>702</v>
      </c>
      <c r="E141" s="942" t="str">
        <f>E132</f>
        <v>l/min</v>
      </c>
      <c r="F141" s="967" t="str">
        <f>IF(D17="","",IF($B$41="x",0,ROUND(D33,$E138)))</f>
        <v/>
      </c>
      <c r="G141" s="967" t="str">
        <f>IF(G138="","",0)</f>
        <v/>
      </c>
      <c r="H141" s="1495" t="str">
        <f t="shared" ref="H141:N141" si="19">IF(OR($B$41="x",$C$24=""),"",ROUND(H140*$I$138,$E$103))</f>
        <v/>
      </c>
      <c r="I141" s="1495" t="str">
        <f t="shared" si="19"/>
        <v/>
      </c>
      <c r="J141" s="1495" t="str">
        <f t="shared" si="19"/>
        <v/>
      </c>
      <c r="K141" s="1495" t="str">
        <f t="shared" si="19"/>
        <v/>
      </c>
      <c r="L141" s="1495" t="str">
        <f t="shared" si="19"/>
        <v/>
      </c>
      <c r="M141" s="1495" t="str">
        <f t="shared" si="19"/>
        <v/>
      </c>
      <c r="N141" s="1495" t="str">
        <f t="shared" si="19"/>
        <v/>
      </c>
      <c r="O141" s="1495" t="str">
        <f>IF(OR($B$41="x",$C$24=""),"",ROUND(O140*$I$138,$E$103))</f>
        <v/>
      </c>
      <c r="P141" s="1495" t="str">
        <f>IF(OR($B$41="x",$C$24=""),"",ROUND(P140*$I$138,$E$103))</f>
        <v/>
      </c>
      <c r="Q141" s="1495" t="str">
        <f>IF(OR($B$41="x",$C$24=""),"",ROUND(Q140*$I$138,$E$103))</f>
        <v/>
      </c>
      <c r="R141" s="925"/>
      <c r="S141" s="925"/>
      <c r="T141" s="925"/>
      <c r="U141" s="925"/>
      <c r="V141" s="925"/>
    </row>
    <row r="142" spans="1:22" ht="16.75" x14ac:dyDescent="0.3">
      <c r="A142" s="925"/>
      <c r="B142" s="925"/>
      <c r="C142" s="942" t="s">
        <v>713</v>
      </c>
      <c r="D142" s="942" t="s">
        <v>701</v>
      </c>
      <c r="E142" s="942" t="str">
        <f>E133</f>
        <v>kPa</v>
      </c>
      <c r="F142" s="967" t="str">
        <f>IF(D17="","",IF($B$41="x",0,ROUND($E$33+$F$33*F141^1.85,$D138)))</f>
        <v/>
      </c>
      <c r="G142" s="967" t="str">
        <f t="shared" ref="G142:Q142" si="20">IF($D$17="","",IF($B$41="x",0,ROUND($E$33+$F$33*G141^1.85,$D138)))</f>
        <v/>
      </c>
      <c r="H142" s="967" t="str">
        <f t="shared" si="20"/>
        <v/>
      </c>
      <c r="I142" s="967" t="str">
        <f t="shared" si="20"/>
        <v/>
      </c>
      <c r="J142" s="967" t="str">
        <f t="shared" si="20"/>
        <v/>
      </c>
      <c r="K142" s="967" t="str">
        <f t="shared" si="20"/>
        <v/>
      </c>
      <c r="L142" s="967" t="str">
        <f t="shared" si="20"/>
        <v/>
      </c>
      <c r="M142" s="967" t="str">
        <f t="shared" si="20"/>
        <v/>
      </c>
      <c r="N142" s="967" t="str">
        <f t="shared" si="20"/>
        <v/>
      </c>
      <c r="O142" s="967" t="str">
        <f t="shared" si="20"/>
        <v/>
      </c>
      <c r="P142" s="967" t="str">
        <f t="shared" si="20"/>
        <v/>
      </c>
      <c r="Q142" s="967" t="str">
        <f t="shared" si="20"/>
        <v/>
      </c>
      <c r="R142" s="925"/>
      <c r="S142" s="925"/>
      <c r="T142" s="925"/>
      <c r="U142" s="925"/>
      <c r="V142" s="925"/>
    </row>
    <row r="143" spans="1:22" x14ac:dyDescent="0.3">
      <c r="A143" s="925"/>
      <c r="B143" s="925"/>
      <c r="C143" s="925"/>
      <c r="D143" s="940"/>
      <c r="E143" s="925"/>
      <c r="F143" s="925"/>
      <c r="G143" s="925"/>
      <c r="H143" s="925"/>
      <c r="I143" s="925"/>
      <c r="J143" s="925"/>
      <c r="K143" s="925"/>
      <c r="L143" s="925"/>
      <c r="M143" s="925"/>
      <c r="N143" s="925"/>
      <c r="O143" s="925"/>
      <c r="P143" s="925"/>
      <c r="Q143" s="925"/>
      <c r="R143" s="925"/>
      <c r="S143" s="925"/>
      <c r="T143" s="925"/>
      <c r="U143" s="925"/>
      <c r="V143" s="925"/>
    </row>
    <row r="144" spans="1:22" x14ac:dyDescent="0.3">
      <c r="A144" s="925"/>
      <c r="B144" s="925"/>
      <c r="C144" s="925"/>
      <c r="D144" s="940"/>
      <c r="E144" s="925"/>
      <c r="F144" s="925"/>
      <c r="H144" s="925"/>
      <c r="I144" s="925"/>
      <c r="J144" s="925"/>
      <c r="K144" s="925"/>
      <c r="L144" s="925"/>
      <c r="M144" s="925"/>
      <c r="N144" s="925"/>
      <c r="O144" s="925"/>
      <c r="P144" s="925"/>
      <c r="Q144" s="925"/>
      <c r="R144" s="925"/>
      <c r="S144" s="925"/>
      <c r="T144" s="925"/>
      <c r="U144" s="925"/>
      <c r="V144" s="925"/>
    </row>
    <row r="145" spans="1:22" x14ac:dyDescent="0.3">
      <c r="A145" s="925"/>
      <c r="B145" s="925"/>
      <c r="C145" s="925"/>
      <c r="D145" s="940"/>
      <c r="E145" s="925"/>
      <c r="F145" s="925"/>
      <c r="H145" s="925"/>
      <c r="I145" s="925"/>
      <c r="J145" s="925"/>
      <c r="K145" s="925"/>
      <c r="L145" s="925"/>
      <c r="M145" s="925"/>
      <c r="N145" s="925"/>
      <c r="O145" s="925"/>
      <c r="P145" s="925"/>
      <c r="Q145" s="925"/>
      <c r="R145" s="925"/>
      <c r="S145" s="925"/>
      <c r="T145" s="925"/>
      <c r="U145" s="925"/>
      <c r="V145" s="925"/>
    </row>
    <row r="146" spans="1:22" x14ac:dyDescent="0.3">
      <c r="A146" s="925"/>
      <c r="B146" s="925"/>
      <c r="C146" s="925"/>
      <c r="D146" s="940"/>
      <c r="E146" s="925"/>
      <c r="F146" s="925"/>
      <c r="G146" s="925"/>
      <c r="H146" s="925"/>
      <c r="I146" s="925"/>
      <c r="J146" s="925"/>
      <c r="K146" s="925"/>
      <c r="L146" s="925"/>
      <c r="M146" s="925"/>
      <c r="N146" s="925"/>
      <c r="O146" s="925"/>
      <c r="P146" s="925"/>
      <c r="Q146" s="925"/>
      <c r="R146" s="925"/>
      <c r="S146" s="925"/>
      <c r="T146" s="925"/>
      <c r="U146" s="925"/>
      <c r="V146" s="925"/>
    </row>
    <row r="147" spans="1:22" x14ac:dyDescent="0.3">
      <c r="A147" s="925"/>
      <c r="B147" s="925"/>
      <c r="C147" s="925"/>
      <c r="D147" s="940"/>
      <c r="E147" s="925"/>
      <c r="F147" s="925"/>
      <c r="G147" s="925"/>
      <c r="H147" s="925"/>
      <c r="I147" s="925"/>
      <c r="J147" s="925"/>
      <c r="K147" s="925"/>
      <c r="L147" s="925"/>
      <c r="M147" s="925"/>
      <c r="N147" s="925"/>
      <c r="O147" s="925"/>
      <c r="P147" s="925"/>
      <c r="Q147" s="925"/>
      <c r="R147" s="925"/>
      <c r="S147" s="925"/>
      <c r="T147" s="925"/>
      <c r="U147" s="925"/>
      <c r="V147" s="925"/>
    </row>
  </sheetData>
  <sheetProtection algorithmName="SHA-512" hashValue="t3Kag8s5GnDuCtN2+ptEK/7y33BkTVftqx+3iHtY/WEzNtpaMXnnx1QF983Dv23CgxTwVaqVs4W0ENPSu9+tPQ==" saltValue="QQ4L5++cBdftgu8tDnaqCA==" spinCount="100000" sheet="1" objects="1" scenarios="1"/>
  <mergeCells count="6">
    <mergeCell ref="M54:O54"/>
    <mergeCell ref="C53:D53"/>
    <mergeCell ref="B54:D54"/>
    <mergeCell ref="F54:I54"/>
    <mergeCell ref="B55:D55"/>
    <mergeCell ref="K54:L54"/>
  </mergeCells>
  <conditionalFormatting sqref="F54:I54">
    <cfRule type="cellIs" dxfId="71" priority="29" stopIfTrue="1" operator="equal">
      <formula>" Erro: L não pode ser inferior a h"</formula>
    </cfRule>
  </conditionalFormatting>
  <conditionalFormatting sqref="B59:B67">
    <cfRule type="cellIs" dxfId="70" priority="31" stopIfTrue="1" operator="equal">
      <formula>$CR$23</formula>
    </cfRule>
  </conditionalFormatting>
  <conditionalFormatting sqref="B59:B67">
    <cfRule type="cellIs" dxfId="69" priority="32" stopIfTrue="1" operator="equal">
      <formula>$CQ$23</formula>
    </cfRule>
  </conditionalFormatting>
  <conditionalFormatting sqref="G58:G67">
    <cfRule type="cellIs" dxfId="68" priority="147" stopIfTrue="1" operator="notBetween">
      <formula>$I58</formula>
      <formula>-$I58</formula>
    </cfRule>
  </conditionalFormatting>
  <conditionalFormatting sqref="L58:L67">
    <cfRule type="cellIs" dxfId="67" priority="27" stopIfTrue="1" operator="lessThan">
      <formula>CB58</formula>
    </cfRule>
  </conditionalFormatting>
  <conditionalFormatting sqref="Y58:Y67">
    <cfRule type="cellIs" dxfId="66" priority="25" stopIfTrue="1" operator="lessThan">
      <formula>CL58</formula>
    </cfRule>
  </conditionalFormatting>
  <conditionalFormatting sqref="W58:X67">
    <cfRule type="cellIs" dxfId="65" priority="24" stopIfTrue="1" operator="lessThan">
      <formula>CJ58</formula>
    </cfRule>
  </conditionalFormatting>
  <conditionalFormatting sqref="AM73:AM97">
    <cfRule type="cellIs" dxfId="64" priority="23" stopIfTrue="1" operator="lessThan">
      <formula>CY73</formula>
    </cfRule>
  </conditionalFormatting>
  <conditionalFormatting sqref="B54:O57">
    <cfRule type="expression" dxfId="63" priority="21">
      <formula>AND(CELL("col")=COLUMN(),CELL("lin")&gt;=58,CELL("lin")&lt;=67)</formula>
    </cfRule>
  </conditionalFormatting>
  <conditionalFormatting sqref="B58:O67">
    <cfRule type="expression" dxfId="62" priority="11">
      <formula>AND(CELL("lin")=ROW(),CELL("col")&gt;=12,CELL("col")&lt;=15)</formula>
    </cfRule>
    <cfRule type="expression" dxfId="61" priority="12">
      <formula>AND(CELL("lin")=ROW(),CELL("col")&gt;=9,CELL("col")&lt;=10)</formula>
    </cfRule>
    <cfRule type="expression" dxfId="60" priority="20">
      <formula>AND(CELL("lin")=ROW(),CELL("col")=2)</formula>
    </cfRule>
  </conditionalFormatting>
  <conditionalFormatting sqref="B58:B67 D58:O67">
    <cfRule type="expression" dxfId="59" priority="19">
      <formula>AND(CELL("lin")=ROW(),CELL("col")=3)</formula>
    </cfRule>
  </conditionalFormatting>
  <conditionalFormatting sqref="B58:C67 E58:O67">
    <cfRule type="expression" dxfId="58" priority="18">
      <formula>AND(CELL("lin")=ROW(),CELL("col")=4)</formula>
    </cfRule>
  </conditionalFormatting>
  <conditionalFormatting sqref="B58:D67 F58:O67">
    <cfRule type="expression" dxfId="57" priority="17">
      <formula>AND(CELL("lin")=ROW(),CELL("col")=5)</formula>
    </cfRule>
  </conditionalFormatting>
  <conditionalFormatting sqref="B58:E67 G58:O67">
    <cfRule type="expression" dxfId="56" priority="16">
      <formula>AND(CELL("lin")=ROW(),CELL("col")=6)</formula>
    </cfRule>
  </conditionalFormatting>
  <conditionalFormatting sqref="B58:F67 H58:O67">
    <cfRule type="expression" dxfId="55" priority="15">
      <formula>AND(CELL("lin")=ROW(),CELL("col")=7)</formula>
    </cfRule>
  </conditionalFormatting>
  <conditionalFormatting sqref="B58:G67 I58:O67">
    <cfRule type="expression" dxfId="54" priority="14">
      <formula>AND(CELL("lin")=ROW(),CELL("col")=8)</formula>
    </cfRule>
  </conditionalFormatting>
  <conditionalFormatting sqref="B58:J67 L58:O67">
    <cfRule type="expression" dxfId="53" priority="13">
      <formula>AND(CELL("lin")=ROW(),CELL("col")=11)</formula>
    </cfRule>
  </conditionalFormatting>
  <conditionalFormatting sqref="C15:F16">
    <cfRule type="expression" dxfId="52" priority="10">
      <formula>AND(CELL("col")=COLUMN(),CELL("lin")=17)</formula>
    </cfRule>
  </conditionalFormatting>
  <conditionalFormatting sqref="C17:F17">
    <cfRule type="expression" dxfId="51" priority="9">
      <formula>AND(CELL("lin")=ROW(),CELL("col")&gt;=3,CELL("col")&lt;=6)</formula>
    </cfRule>
  </conditionalFormatting>
  <conditionalFormatting sqref="C22:F22">
    <cfRule type="expression" dxfId="50" priority="8">
      <formula>AND(CELL("lin")=ROW(),CELL("col")&gt;=3,CELL("col")&lt;=6)</formula>
    </cfRule>
  </conditionalFormatting>
  <conditionalFormatting sqref="C28:F28">
    <cfRule type="expression" dxfId="49" priority="7">
      <formula>AND(CELL("lin")=ROW(),CELL("col")&gt;=3,CELL("col")&lt;=6)</formula>
    </cfRule>
  </conditionalFormatting>
  <conditionalFormatting sqref="C33:F33">
    <cfRule type="expression" dxfId="48" priority="6">
      <formula>AND(CELL("lin")=ROW(),CELL("col")&gt;=3,CELL("col")&lt;=6)</formula>
    </cfRule>
  </conditionalFormatting>
  <conditionalFormatting sqref="C20:F21">
    <cfRule type="expression" dxfId="47" priority="5">
      <formula>AND(CELL("col")=COLUMN(),CELL("lin")=22)</formula>
    </cfRule>
  </conditionalFormatting>
  <conditionalFormatting sqref="C26:F27">
    <cfRule type="expression" dxfId="46" priority="4">
      <formula>AND(CELL("col")=COLUMN(),CELL("lin")=28)</formula>
    </cfRule>
  </conditionalFormatting>
  <conditionalFormatting sqref="C31:F32">
    <cfRule type="expression" dxfId="45" priority="3">
      <formula>AND(CELL("col")=COLUMN(),CELL("lin")=33)</formula>
    </cfRule>
  </conditionalFormatting>
  <conditionalFormatting sqref="C36:D37">
    <cfRule type="expression" dxfId="44" priority="2">
      <formula>AND(CELL("col")=COLUMN(),CELL("lin")=38)</formula>
    </cfRule>
  </conditionalFormatting>
  <conditionalFormatting sqref="C38:D38">
    <cfRule type="expression" dxfId="43" priority="1">
      <formula>AND(CELL("lin")=ROW(),CELL("col")&gt;=3,CELL("col")&lt;=4)</formula>
    </cfRule>
  </conditionalFormatting>
  <pageMargins left="0.7" right="0.7" top="0.75" bottom="0.75" header="0.3" footer="0.3"/>
  <pageSetup paperSize="9" scale="80" orientation="landscape" horizontalDpi="4294967292" r:id="rId1"/>
  <headerFooter alignWithMargins="0">
    <oddHeader>&amp;L&amp;12&amp;F</oddHeader>
    <oddFooter>&amp;L&amp;12&amp;A&amp;RAPTA - Associação de Produtores de Tubos e Acessórios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7">
    <tabColor indexed="16"/>
  </sheetPr>
  <dimension ref="A1:AD86"/>
  <sheetViews>
    <sheetView showGridLines="0" showRowColHeaders="0" zoomScaleNormal="100" workbookViewId="0">
      <selection activeCell="Y35" sqref="Y35"/>
    </sheetView>
  </sheetViews>
  <sheetFormatPr defaultColWidth="9.15234375" defaultRowHeight="12.45" x14ac:dyDescent="0.3"/>
  <cols>
    <col min="1" max="1" width="1.53515625" style="137" customWidth="1"/>
    <col min="2" max="2" width="1.84375" style="137" customWidth="1"/>
    <col min="3" max="3" width="10.84375" style="137" customWidth="1"/>
    <col min="4" max="4" width="5.3046875" style="290" customWidth="1"/>
    <col min="5" max="6" width="11" style="137" customWidth="1"/>
    <col min="7" max="7" width="6.53515625" style="137" customWidth="1"/>
    <col min="8" max="8" width="7" style="137" customWidth="1"/>
    <col min="9" max="10" width="5.84375" style="137" customWidth="1"/>
    <col min="11" max="11" width="8" style="137" customWidth="1"/>
    <col min="12" max="12" width="12" style="137" customWidth="1"/>
    <col min="13" max="13" width="12.15234375" style="137" customWidth="1"/>
    <col min="14" max="14" width="16" style="137" customWidth="1"/>
    <col min="15" max="15" width="6.84375" style="137" customWidth="1"/>
    <col min="16" max="16" width="2.3828125" style="137" customWidth="1"/>
    <col min="17" max="17" width="2.69140625" style="137" customWidth="1"/>
    <col min="18" max="18" width="14.15234375" style="137" customWidth="1"/>
    <col min="19" max="19" width="5.3046875" style="137" customWidth="1"/>
    <col min="20" max="20" width="11.69140625" style="137" customWidth="1"/>
    <col min="21" max="22" width="3" style="137" customWidth="1"/>
    <col min="23" max="23" width="2.69140625" style="137" customWidth="1"/>
    <col min="24" max="24" width="9.15234375" style="137"/>
    <col min="25" max="25" width="9.84375" style="137" customWidth="1"/>
    <col min="26" max="16384" width="9.15234375" style="137"/>
  </cols>
  <sheetData>
    <row r="1" spans="1:30" ht="6.75" customHeight="1" x14ac:dyDescent="0.3">
      <c r="A1" s="857"/>
    </row>
    <row r="2" spans="1:30" ht="18.899999999999999" x14ac:dyDescent="0.3">
      <c r="A2" s="857"/>
      <c r="C2" s="1349" t="s">
        <v>286</v>
      </c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</row>
    <row r="3" spans="1:30" ht="22.5" customHeight="1" thickBot="1" x14ac:dyDescent="0.35">
      <c r="A3" s="857"/>
    </row>
    <row r="4" spans="1:30" ht="21" customHeight="1" thickTop="1" thickBot="1" x14ac:dyDescent="0.45">
      <c r="A4" s="857"/>
      <c r="C4" s="443" t="s">
        <v>146</v>
      </c>
      <c r="D4" s="444" t="s">
        <v>35</v>
      </c>
      <c r="E4" s="445"/>
      <c r="F4" s="445"/>
      <c r="G4" s="445"/>
      <c r="H4" s="445"/>
      <c r="I4" s="445"/>
      <c r="J4" s="445"/>
      <c r="K4" s="446"/>
      <c r="L4" s="445"/>
      <c r="M4" s="445"/>
      <c r="N4" s="445"/>
      <c r="O4" s="445"/>
    </row>
    <row r="5" spans="1:30" ht="7.5" customHeight="1" thickTop="1" x14ac:dyDescent="0.4">
      <c r="A5" s="857"/>
      <c r="D5" s="291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</row>
    <row r="6" spans="1:30" ht="13.5" customHeight="1" x14ac:dyDescent="0.3">
      <c r="A6" s="857"/>
      <c r="D6" s="1575" t="s">
        <v>203</v>
      </c>
      <c r="E6" s="1576"/>
      <c r="F6" s="1253"/>
      <c r="G6" s="293" t="s">
        <v>38</v>
      </c>
      <c r="H6" s="1575" t="s">
        <v>4</v>
      </c>
      <c r="I6" s="1582"/>
      <c r="J6" s="1583"/>
      <c r="K6" s="131" t="s">
        <v>25</v>
      </c>
      <c r="L6" s="1579" t="s">
        <v>41</v>
      </c>
      <c r="M6" s="1580"/>
      <c r="N6" s="1580"/>
      <c r="O6" s="1581"/>
    </row>
    <row r="7" spans="1:30" s="290" customFormat="1" ht="15.45" x14ac:dyDescent="0.4">
      <c r="A7" s="858"/>
      <c r="D7" s="295"/>
      <c r="E7" s="294"/>
      <c r="F7" s="301"/>
      <c r="G7" s="296" t="s">
        <v>37</v>
      </c>
      <c r="H7" s="1584" t="s">
        <v>26</v>
      </c>
      <c r="I7" s="1585"/>
      <c r="J7" s="1586"/>
      <c r="K7" s="289" t="s">
        <v>27</v>
      </c>
      <c r="L7" s="1577" t="s">
        <v>5</v>
      </c>
      <c r="M7" s="1578"/>
      <c r="N7" s="1577" t="s">
        <v>6</v>
      </c>
      <c r="O7" s="1578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</row>
    <row r="8" spans="1:30" s="290" customFormat="1" ht="12" customHeight="1" thickBot="1" x14ac:dyDescent="0.35">
      <c r="A8" s="858"/>
      <c r="D8" s="297" t="s">
        <v>28</v>
      </c>
      <c r="E8" s="298" t="s">
        <v>29</v>
      </c>
      <c r="F8" s="301"/>
      <c r="G8" s="296" t="s">
        <v>3</v>
      </c>
      <c r="H8" s="299" t="s">
        <v>9</v>
      </c>
      <c r="I8" s="300" t="s">
        <v>7</v>
      </c>
      <c r="J8" s="300" t="s">
        <v>8</v>
      </c>
      <c r="K8" s="301" t="s">
        <v>9</v>
      </c>
      <c r="L8" s="300" t="s">
        <v>10</v>
      </c>
      <c r="M8" s="302" t="s">
        <v>36</v>
      </c>
      <c r="N8" s="300" t="s">
        <v>10</v>
      </c>
      <c r="O8" s="302" t="s">
        <v>36</v>
      </c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</row>
    <row r="9" spans="1:30" s="290" customFormat="1" ht="12.9" thickTop="1" x14ac:dyDescent="0.3">
      <c r="A9" s="858"/>
      <c r="D9" s="303">
        <v>0.375</v>
      </c>
      <c r="E9" s="304" t="s">
        <v>11</v>
      </c>
      <c r="F9" s="304"/>
      <c r="G9" s="305">
        <v>12.6</v>
      </c>
      <c r="H9" s="306">
        <v>17.2</v>
      </c>
      <c r="I9" s="304">
        <v>17.5</v>
      </c>
      <c r="J9" s="304">
        <v>16.7</v>
      </c>
      <c r="K9" s="306">
        <v>2.2999999999999998</v>
      </c>
      <c r="L9" s="304">
        <v>0.83899999999999997</v>
      </c>
      <c r="M9" s="304">
        <v>0.84499999999999997</v>
      </c>
      <c r="N9" s="304">
        <v>0.89500000000000002</v>
      </c>
      <c r="O9" s="307">
        <v>0.90100000000000002</v>
      </c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</row>
    <row r="10" spans="1:30" s="290" customFormat="1" x14ac:dyDescent="0.3">
      <c r="A10" s="858"/>
      <c r="D10" s="308">
        <v>0.5</v>
      </c>
      <c r="E10" s="309" t="s">
        <v>12</v>
      </c>
      <c r="F10" s="309"/>
      <c r="G10" s="310">
        <v>16.100000000000001</v>
      </c>
      <c r="H10" s="311">
        <v>21.3</v>
      </c>
      <c r="I10" s="309">
        <v>21.8</v>
      </c>
      <c r="J10" s="312">
        <v>21</v>
      </c>
      <c r="K10" s="311">
        <v>2.6</v>
      </c>
      <c r="L10" s="309">
        <v>1.21</v>
      </c>
      <c r="M10" s="309">
        <v>1.22</v>
      </c>
      <c r="N10" s="309">
        <v>1.28</v>
      </c>
      <c r="O10" s="309">
        <v>1.29</v>
      </c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</row>
    <row r="11" spans="1:30" s="290" customFormat="1" x14ac:dyDescent="0.3">
      <c r="A11" s="858"/>
      <c r="D11" s="308">
        <v>0.75</v>
      </c>
      <c r="E11" s="309" t="s">
        <v>13</v>
      </c>
      <c r="F11" s="309"/>
      <c r="G11" s="310">
        <v>21.7</v>
      </c>
      <c r="H11" s="311">
        <v>26.9</v>
      </c>
      <c r="I11" s="309">
        <v>27.3</v>
      </c>
      <c r="J11" s="309">
        <v>26.5</v>
      </c>
      <c r="K11" s="311">
        <v>2.6</v>
      </c>
      <c r="L11" s="309">
        <v>1.56</v>
      </c>
      <c r="M11" s="309">
        <v>1.57</v>
      </c>
      <c r="N11" s="309">
        <v>1.66</v>
      </c>
      <c r="O11" s="309">
        <v>1.67</v>
      </c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</row>
    <row r="12" spans="1:30" s="290" customFormat="1" ht="18" customHeight="1" x14ac:dyDescent="0.3">
      <c r="A12" s="858"/>
      <c r="D12" s="308">
        <v>1</v>
      </c>
      <c r="E12" s="309" t="s">
        <v>14</v>
      </c>
      <c r="F12" s="309"/>
      <c r="G12" s="310">
        <v>27.3</v>
      </c>
      <c r="H12" s="311">
        <v>33.700000000000003</v>
      </c>
      <c r="I12" s="309">
        <v>34.200000000000003</v>
      </c>
      <c r="J12" s="309">
        <v>33.299999999999997</v>
      </c>
      <c r="K12" s="311">
        <v>3.2</v>
      </c>
      <c r="L12" s="309">
        <v>2.41</v>
      </c>
      <c r="M12" s="309">
        <v>2.4300000000000002</v>
      </c>
      <c r="N12" s="309">
        <v>2.56</v>
      </c>
      <c r="O12" s="309">
        <v>2.58</v>
      </c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</row>
    <row r="13" spans="1:30" s="290" customFormat="1" x14ac:dyDescent="0.3">
      <c r="A13" s="858"/>
      <c r="D13" s="308">
        <v>1.25</v>
      </c>
      <c r="E13" s="309" t="s">
        <v>15</v>
      </c>
      <c r="F13" s="309"/>
      <c r="G13" s="313">
        <v>36</v>
      </c>
      <c r="H13" s="311">
        <v>42.4</v>
      </c>
      <c r="I13" s="309">
        <v>42.9</v>
      </c>
      <c r="J13" s="312">
        <v>42</v>
      </c>
      <c r="K13" s="311">
        <v>3.2</v>
      </c>
      <c r="L13" s="314">
        <v>3.1</v>
      </c>
      <c r="M13" s="309">
        <v>3.13</v>
      </c>
      <c r="N13" s="314">
        <v>3.3</v>
      </c>
      <c r="O13" s="309">
        <v>3.33</v>
      </c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</row>
    <row r="14" spans="1:30" s="290" customFormat="1" x14ac:dyDescent="0.3">
      <c r="A14" s="858"/>
      <c r="D14" s="308">
        <v>1.5</v>
      </c>
      <c r="E14" s="309" t="s">
        <v>16</v>
      </c>
      <c r="F14" s="309"/>
      <c r="G14" s="310">
        <v>41.9</v>
      </c>
      <c r="H14" s="311">
        <v>48.3</v>
      </c>
      <c r="I14" s="309">
        <v>48.8</v>
      </c>
      <c r="J14" s="312">
        <v>47.9</v>
      </c>
      <c r="K14" s="311">
        <v>3.2</v>
      </c>
      <c r="L14" s="309">
        <v>3.56</v>
      </c>
      <c r="M14" s="314">
        <v>3.6</v>
      </c>
      <c r="N14" s="309">
        <v>3.79</v>
      </c>
      <c r="O14" s="309">
        <v>3.83</v>
      </c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</row>
    <row r="15" spans="1:30" s="290" customFormat="1" ht="18.75" customHeight="1" x14ac:dyDescent="0.3">
      <c r="A15" s="858"/>
      <c r="D15" s="308">
        <v>2</v>
      </c>
      <c r="E15" s="309" t="s">
        <v>17</v>
      </c>
      <c r="F15" s="309"/>
      <c r="G15" s="310">
        <v>53.1</v>
      </c>
      <c r="H15" s="311">
        <v>60.3</v>
      </c>
      <c r="I15" s="309">
        <v>60.8</v>
      </c>
      <c r="J15" s="309">
        <v>59.7</v>
      </c>
      <c r="K15" s="311">
        <v>3.6</v>
      </c>
      <c r="L15" s="314">
        <v>5.03</v>
      </c>
      <c r="M15" s="314">
        <v>5.0999999999999996</v>
      </c>
      <c r="N15" s="309">
        <v>5.36</v>
      </c>
      <c r="O15" s="309">
        <v>5.43</v>
      </c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</row>
    <row r="16" spans="1:30" s="290" customFormat="1" x14ac:dyDescent="0.3">
      <c r="A16" s="858"/>
      <c r="D16" s="308">
        <v>2.5</v>
      </c>
      <c r="E16" s="309" t="s">
        <v>18</v>
      </c>
      <c r="F16" s="309"/>
      <c r="G16" s="310">
        <v>68.900000000000006</v>
      </c>
      <c r="H16" s="311">
        <v>76.099999999999994</v>
      </c>
      <c r="I16" s="309">
        <v>76.599999999999994</v>
      </c>
      <c r="J16" s="309">
        <v>75.3</v>
      </c>
      <c r="K16" s="311">
        <v>3.6</v>
      </c>
      <c r="L16" s="309">
        <v>6.42</v>
      </c>
      <c r="M16" s="309">
        <v>6.54</v>
      </c>
      <c r="N16" s="309">
        <v>6.84</v>
      </c>
      <c r="O16" s="309">
        <v>6.96</v>
      </c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</row>
    <row r="17" spans="1:30" s="290" customFormat="1" x14ac:dyDescent="0.3">
      <c r="A17" s="858"/>
      <c r="D17" s="308">
        <v>3</v>
      </c>
      <c r="E17" s="309" t="s">
        <v>19</v>
      </c>
      <c r="F17" s="309"/>
      <c r="G17" s="310">
        <v>80.900000000000006</v>
      </c>
      <c r="H17" s="311">
        <v>88.9</v>
      </c>
      <c r="I17" s="309">
        <v>89.5</v>
      </c>
      <c r="J17" s="312">
        <v>88</v>
      </c>
      <c r="K17" s="315">
        <v>4</v>
      </c>
      <c r="L17" s="309">
        <v>8.36</v>
      </c>
      <c r="M17" s="309">
        <v>8.5299999999999994</v>
      </c>
      <c r="N17" s="309">
        <v>8.89</v>
      </c>
      <c r="O17" s="309">
        <v>9.06</v>
      </c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</row>
    <row r="18" spans="1:30" s="290" customFormat="1" ht="18" customHeight="1" x14ac:dyDescent="0.3">
      <c r="A18" s="858"/>
      <c r="D18" s="308">
        <v>4</v>
      </c>
      <c r="E18" s="309" t="s">
        <v>20</v>
      </c>
      <c r="F18" s="309"/>
      <c r="G18" s="310">
        <v>105.3</v>
      </c>
      <c r="H18" s="311">
        <v>114.3</v>
      </c>
      <c r="I18" s="312">
        <v>115</v>
      </c>
      <c r="J18" s="309">
        <v>113.1</v>
      </c>
      <c r="K18" s="311">
        <v>4.5</v>
      </c>
      <c r="L18" s="309">
        <v>12.2</v>
      </c>
      <c r="M18" s="309">
        <v>12.5</v>
      </c>
      <c r="N18" s="314">
        <v>12.7</v>
      </c>
      <c r="O18" s="314">
        <v>13</v>
      </c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</row>
    <row r="19" spans="1:30" s="290" customFormat="1" x14ac:dyDescent="0.3">
      <c r="A19" s="858"/>
      <c r="D19" s="308">
        <v>5</v>
      </c>
      <c r="E19" s="309" t="s">
        <v>21</v>
      </c>
      <c r="F19" s="309"/>
      <c r="G19" s="310">
        <v>129.69999999999999</v>
      </c>
      <c r="H19" s="311">
        <v>139.69999999999999</v>
      </c>
      <c r="I19" s="309">
        <v>140.80000000000001</v>
      </c>
      <c r="J19" s="309">
        <v>138.5</v>
      </c>
      <c r="K19" s="315">
        <v>5</v>
      </c>
      <c r="L19" s="309">
        <v>16.600000000000001</v>
      </c>
      <c r="M19" s="309">
        <v>17.100000000000001</v>
      </c>
      <c r="N19" s="309">
        <v>17.05</v>
      </c>
      <c r="O19" s="309">
        <v>17.55</v>
      </c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</row>
    <row r="20" spans="1:30" s="290" customFormat="1" ht="12.9" thickBot="1" x14ac:dyDescent="0.35">
      <c r="A20" s="858"/>
      <c r="D20" s="316">
        <v>6</v>
      </c>
      <c r="E20" s="317" t="s">
        <v>22</v>
      </c>
      <c r="F20" s="317"/>
      <c r="G20" s="318">
        <v>155.1</v>
      </c>
      <c r="H20" s="319">
        <v>165.1</v>
      </c>
      <c r="I20" s="317">
        <v>166.5</v>
      </c>
      <c r="J20" s="317">
        <v>163.9</v>
      </c>
      <c r="K20" s="320">
        <v>5</v>
      </c>
      <c r="L20" s="317">
        <v>19.8</v>
      </c>
      <c r="M20" s="317">
        <v>20.399999999999999</v>
      </c>
      <c r="N20" s="317">
        <v>20.27</v>
      </c>
      <c r="O20" s="317">
        <v>20.87</v>
      </c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</row>
    <row r="21" spans="1:30" s="290" customFormat="1" ht="12.9" thickTop="1" x14ac:dyDescent="0.3">
      <c r="A21" s="858"/>
      <c r="D21" s="473">
        <v>8</v>
      </c>
      <c r="E21" s="474" t="s">
        <v>310</v>
      </c>
      <c r="F21" s="474"/>
      <c r="G21" s="475">
        <v>206.5</v>
      </c>
      <c r="H21" s="476">
        <v>219.1</v>
      </c>
      <c r="I21" s="474">
        <v>221.291</v>
      </c>
      <c r="J21" s="474">
        <v>216.90899999999999</v>
      </c>
      <c r="K21" s="476">
        <v>6.3</v>
      </c>
      <c r="L21" s="477">
        <v>23.8</v>
      </c>
      <c r="M21" s="474"/>
      <c r="N21" s="474"/>
      <c r="O21" s="474"/>
      <c r="P21" s="137"/>
      <c r="Q21" s="137"/>
      <c r="R21" s="137"/>
      <c r="S21" s="472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</row>
    <row r="22" spans="1:30" s="290" customFormat="1" x14ac:dyDescent="0.3">
      <c r="A22" s="858"/>
      <c r="D22" s="308">
        <v>10</v>
      </c>
      <c r="E22" s="309" t="s">
        <v>311</v>
      </c>
      <c r="F22" s="309"/>
      <c r="G22" s="313">
        <v>260.39999999999998</v>
      </c>
      <c r="H22" s="315">
        <v>273</v>
      </c>
      <c r="I22" s="312">
        <v>275.04750000000001</v>
      </c>
      <c r="J22" s="312">
        <v>270.95249999999999</v>
      </c>
      <c r="K22" s="315">
        <v>6.3</v>
      </c>
      <c r="L22" s="312">
        <v>33</v>
      </c>
      <c r="M22" s="309"/>
      <c r="N22" s="314"/>
      <c r="O22" s="309"/>
      <c r="P22" s="137"/>
      <c r="Q22" s="137"/>
      <c r="R22" s="137"/>
      <c r="S22" s="472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</row>
    <row r="23" spans="1:30" s="290" customFormat="1" x14ac:dyDescent="0.3">
      <c r="A23" s="858"/>
      <c r="D23" s="308">
        <v>12</v>
      </c>
      <c r="E23" s="309" t="s">
        <v>312</v>
      </c>
      <c r="F23" s="309"/>
      <c r="G23" s="313">
        <v>311.3</v>
      </c>
      <c r="H23" s="311">
        <v>323.89999999999998</v>
      </c>
      <c r="I23" s="312">
        <v>326.32925</v>
      </c>
      <c r="J23" s="312">
        <v>321.47074999999995</v>
      </c>
      <c r="K23" s="311">
        <v>6.3</v>
      </c>
      <c r="L23" s="312">
        <v>44</v>
      </c>
      <c r="M23" s="309"/>
      <c r="N23" s="309"/>
      <c r="O23" s="309"/>
      <c r="P23" s="137"/>
      <c r="Q23" s="137"/>
      <c r="R23" s="137"/>
      <c r="S23" s="472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</row>
    <row r="24" spans="1:30" s="290" customFormat="1" ht="17.25" customHeight="1" x14ac:dyDescent="0.3">
      <c r="A24" s="858"/>
      <c r="D24" s="308"/>
      <c r="E24" s="309"/>
      <c r="F24" s="309"/>
      <c r="G24" s="310"/>
      <c r="H24" s="311"/>
      <c r="I24" s="309"/>
      <c r="J24" s="309"/>
      <c r="K24" s="311"/>
      <c r="L24" s="309"/>
      <c r="M24" s="314"/>
      <c r="N24" s="309"/>
      <c r="O24" s="309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</row>
    <row r="25" spans="1:30" s="290" customFormat="1" x14ac:dyDescent="0.3">
      <c r="A25" s="858"/>
      <c r="D25" s="308"/>
      <c r="E25" s="309"/>
      <c r="F25" s="309"/>
      <c r="G25" s="313"/>
      <c r="H25" s="311"/>
      <c r="I25" s="309"/>
      <c r="J25" s="309"/>
      <c r="K25" s="311"/>
      <c r="L25" s="309"/>
      <c r="M25" s="309"/>
      <c r="N25" s="314"/>
      <c r="O25" s="309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</row>
    <row r="26" spans="1:30" s="290" customFormat="1" x14ac:dyDescent="0.3">
      <c r="A26" s="858"/>
      <c r="D26" s="308"/>
      <c r="E26" s="309"/>
      <c r="F26" s="309"/>
      <c r="G26" s="310"/>
      <c r="H26" s="311"/>
      <c r="I26" s="309"/>
      <c r="J26" s="312"/>
      <c r="K26" s="311"/>
      <c r="L26" s="309"/>
      <c r="M26" s="309"/>
      <c r="N26" s="309"/>
      <c r="O26" s="309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</row>
    <row r="27" spans="1:30" x14ac:dyDescent="0.3">
      <c r="A27" s="857"/>
      <c r="E27" s="290"/>
      <c r="F27" s="290"/>
    </row>
    <row r="28" spans="1:30" ht="41.25" customHeight="1" x14ac:dyDescent="0.4">
      <c r="A28" s="857"/>
      <c r="C28" s="1252" t="s">
        <v>23</v>
      </c>
      <c r="D28" s="137"/>
    </row>
    <row r="29" spans="1:30" x14ac:dyDescent="0.3">
      <c r="A29" s="857"/>
      <c r="C29" s="1244" t="s">
        <v>30</v>
      </c>
      <c r="D29" s="1245"/>
      <c r="E29" s="1244" t="s">
        <v>117</v>
      </c>
      <c r="F29" s="1244"/>
      <c r="G29" s="1245"/>
      <c r="H29" s="1245"/>
      <c r="I29" s="1245"/>
      <c r="J29" s="1245"/>
      <c r="K29" s="1245"/>
      <c r="L29" s="1245"/>
      <c r="M29" s="1245"/>
      <c r="N29" s="1245"/>
      <c r="O29" s="1245"/>
      <c r="P29" s="1245"/>
    </row>
    <row r="30" spans="1:30" x14ac:dyDescent="0.3">
      <c r="A30" s="857"/>
      <c r="C30" s="1244" t="s">
        <v>843</v>
      </c>
      <c r="D30" s="1245"/>
      <c r="E30" s="1244" t="s">
        <v>118</v>
      </c>
      <c r="F30" s="1244"/>
      <c r="G30" s="1245"/>
      <c r="H30" s="1245"/>
      <c r="I30" s="1245"/>
      <c r="J30" s="1245"/>
      <c r="K30" s="1245"/>
      <c r="L30" s="1245"/>
      <c r="M30" s="1245"/>
      <c r="N30" s="1245"/>
      <c r="O30" s="1248"/>
      <c r="P30" s="1248"/>
    </row>
    <row r="31" spans="1:30" x14ac:dyDescent="0.3">
      <c r="A31" s="857"/>
      <c r="C31" s="1244" t="s">
        <v>32</v>
      </c>
      <c r="D31" s="1245"/>
      <c r="E31" s="1246" t="s">
        <v>31</v>
      </c>
      <c r="F31" s="1246"/>
      <c r="G31" s="1245"/>
      <c r="H31" s="1245"/>
      <c r="I31" s="1245"/>
      <c r="J31" s="1245"/>
      <c r="K31" s="1245"/>
      <c r="L31" s="1245"/>
      <c r="M31" s="1245"/>
      <c r="N31" s="1245"/>
      <c r="O31" s="201"/>
      <c r="P31" s="201"/>
    </row>
    <row r="32" spans="1:30" x14ac:dyDescent="0.3">
      <c r="A32" s="857"/>
      <c r="C32" s="1247" t="s">
        <v>33</v>
      </c>
      <c r="D32" s="1248"/>
      <c r="E32" s="1247" t="s">
        <v>844</v>
      </c>
      <c r="F32" s="1247"/>
      <c r="G32" s="1248"/>
      <c r="H32" s="1248"/>
      <c r="I32" s="1248"/>
      <c r="J32" s="1248"/>
      <c r="K32" s="1248"/>
      <c r="L32" s="1248"/>
      <c r="M32" s="1248"/>
      <c r="N32" s="1248"/>
      <c r="O32" s="201"/>
      <c r="P32" s="201"/>
    </row>
    <row r="33" spans="1:19" ht="14.15" x14ac:dyDescent="0.3">
      <c r="A33" s="857"/>
      <c r="C33" s="1249"/>
      <c r="D33" s="1250"/>
      <c r="E33" s="1251" t="s">
        <v>34</v>
      </c>
      <c r="F33" s="1251"/>
      <c r="G33" s="1250"/>
      <c r="H33" s="1250"/>
      <c r="I33" s="1250"/>
      <c r="J33" s="1250"/>
      <c r="K33" s="1250"/>
      <c r="L33" s="1250"/>
      <c r="M33" s="1250"/>
      <c r="N33" s="1250"/>
      <c r="O33" s="201"/>
      <c r="P33" s="201"/>
    </row>
    <row r="34" spans="1:19" x14ac:dyDescent="0.3">
      <c r="A34" s="857"/>
      <c r="C34" s="1244" t="s">
        <v>845</v>
      </c>
      <c r="D34" s="1245"/>
      <c r="E34" s="1244" t="s">
        <v>846</v>
      </c>
      <c r="F34" s="1244"/>
      <c r="G34" s="1245"/>
      <c r="H34" s="1245"/>
      <c r="I34" s="1245"/>
      <c r="J34" s="1245"/>
      <c r="K34" s="1245"/>
      <c r="L34" s="1245"/>
      <c r="M34" s="1245"/>
      <c r="N34" s="1245"/>
      <c r="O34" s="201"/>
      <c r="P34" s="201"/>
    </row>
    <row r="35" spans="1:19" ht="11.25" customHeight="1" x14ac:dyDescent="0.3">
      <c r="A35" s="857"/>
    </row>
    <row r="36" spans="1:19" ht="10.5" customHeight="1" x14ac:dyDescent="0.3">
      <c r="A36" s="857"/>
      <c r="B36" s="857"/>
      <c r="C36" s="857"/>
      <c r="D36" s="858"/>
      <c r="E36" s="857"/>
      <c r="F36" s="857"/>
      <c r="G36" s="857"/>
      <c r="H36" s="857"/>
      <c r="I36" s="857"/>
      <c r="J36" s="857"/>
      <c r="K36" s="857"/>
      <c r="L36" s="857"/>
      <c r="M36" s="857"/>
      <c r="N36" s="857"/>
      <c r="O36" s="857"/>
      <c r="P36" s="857"/>
      <c r="Q36" s="857"/>
      <c r="R36" s="857"/>
      <c r="S36" s="857"/>
    </row>
    <row r="37" spans="1:19" ht="13.5" customHeight="1" x14ac:dyDescent="0.3"/>
    <row r="38" spans="1:19" ht="4.5" customHeight="1" x14ac:dyDescent="0.3"/>
    <row r="43" spans="1:19" ht="4.5" customHeight="1" x14ac:dyDescent="0.3"/>
    <row r="84" spans="1:19" ht="6" customHeight="1" x14ac:dyDescent="0.3"/>
    <row r="86" spans="1:19" ht="9.75" customHeight="1" x14ac:dyDescent="0.3">
      <c r="A86" s="857"/>
      <c r="B86" s="857"/>
      <c r="C86" s="857"/>
      <c r="D86" s="858"/>
      <c r="E86" s="857"/>
      <c r="F86" s="857"/>
      <c r="G86" s="857"/>
      <c r="H86" s="857"/>
      <c r="I86" s="857"/>
      <c r="J86" s="857"/>
      <c r="K86" s="857"/>
      <c r="L86" s="857"/>
      <c r="M86" s="857"/>
      <c r="N86" s="857"/>
      <c r="O86" s="857"/>
      <c r="P86" s="857"/>
      <c r="Q86" s="857"/>
      <c r="R86" s="857"/>
      <c r="S86" s="857"/>
    </row>
  </sheetData>
  <sheetProtection algorithmName="SHA-512" hashValue="M7I14rTXaiQv8/t9XOVyI0ppBP13MavthrCmjUZCD10T66dQOPFIqZ6VJE9Ugc48Y3qqMQ4Of1rwiLwKfsEtYg==" saltValue="DtA0yf1Jgw2tQ6iuWtsPsQ==" spinCount="100000" sheet="1" objects="1" scenarios="1" selectLockedCells="1" selectUnlockedCells="1"/>
  <mergeCells count="6">
    <mergeCell ref="D6:E6"/>
    <mergeCell ref="L7:M7"/>
    <mergeCell ref="N7:O7"/>
    <mergeCell ref="L6:O6"/>
    <mergeCell ref="H6:J6"/>
    <mergeCell ref="H7:J7"/>
  </mergeCells>
  <phoneticPr fontId="0" type="noConversion"/>
  <pageMargins left="0.55118110236220474" right="0.39370078740157483" top="1.1023622047244095" bottom="0.78740157480314965" header="0.55118110236220474" footer="0.59055118110236227"/>
  <pageSetup paperSize="9" scale="80" orientation="landscape" horizontalDpi="4294967292" r:id="rId1"/>
  <headerFooter alignWithMargins="0">
    <oddHeader>&amp;L&amp;12&amp;F</oddHeader>
    <oddFooter>&amp;L&amp;12&amp;A&amp;RAPTA - Associação de Produtores de Tubos e Acessórios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2">
    <tabColor theme="5" tint="-0.249977111117893"/>
  </sheetPr>
  <dimension ref="A1:CO77"/>
  <sheetViews>
    <sheetView showGridLines="0" showRowColHeaders="0" zoomScaleNormal="100" workbookViewId="0">
      <pane ySplit="12" topLeftCell="A13" activePane="bottomLeft" state="frozen"/>
      <selection pane="bottomLeft" activeCell="K13" sqref="K13"/>
    </sheetView>
  </sheetViews>
  <sheetFormatPr defaultRowHeight="12.45" x14ac:dyDescent="0.3"/>
  <cols>
    <col min="1" max="1" width="1.69140625" customWidth="1"/>
    <col min="2" max="2" width="1.15234375" customWidth="1"/>
    <col min="3" max="3" width="3.3828125" customWidth="1"/>
    <col min="4" max="4" width="5.53515625" customWidth="1"/>
    <col min="5" max="5" width="5.84375" customWidth="1"/>
    <col min="6" max="6" width="8.69140625" customWidth="1"/>
    <col min="7" max="7" width="7.84375" customWidth="1"/>
    <col min="8" max="9" width="8.15234375" customWidth="1"/>
    <col min="10" max="10" width="0.84375" customWidth="1"/>
    <col min="11" max="22" width="4.15234375" customWidth="1"/>
    <col min="23" max="23" width="4.3828125" customWidth="1"/>
    <col min="24" max="40" width="4.15234375" customWidth="1"/>
    <col min="41" max="41" width="5.3828125" customWidth="1"/>
    <col min="42" max="42" width="1.53515625" customWidth="1"/>
    <col min="43" max="43" width="1" customWidth="1"/>
    <col min="44" max="44" width="5.15234375" customWidth="1"/>
    <col min="45" max="45" width="5" customWidth="1"/>
    <col min="46" max="46" width="4.84375" customWidth="1"/>
    <col min="47" max="49" width="4.69140625" customWidth="1"/>
    <col min="50" max="51" width="4.3828125" customWidth="1"/>
    <col min="52" max="52" width="4.69140625" customWidth="1"/>
    <col min="53" max="55" width="4.15234375" customWidth="1"/>
    <col min="56" max="56" width="4.53515625" customWidth="1"/>
    <col min="57" max="73" width="4.15234375" customWidth="1"/>
    <col min="74" max="74" width="4.69140625" customWidth="1"/>
    <col min="75" max="75" width="7.3046875" hidden="1" customWidth="1"/>
    <col min="76" max="76" width="28.3046875" hidden="1" customWidth="1"/>
    <col min="77" max="77" width="12" hidden="1" customWidth="1"/>
    <col min="78" max="90" width="9.15234375" hidden="1" customWidth="1"/>
    <col min="91" max="91" width="7.69140625" hidden="1" customWidth="1"/>
    <col min="92" max="92" width="7.84375" hidden="1" customWidth="1"/>
    <col min="93" max="93" width="8.69140625" hidden="1" customWidth="1"/>
    <col min="94" max="95" width="0" hidden="1" customWidth="1"/>
  </cols>
  <sheetData>
    <row r="1" spans="1:93" ht="5.25" customHeight="1" thickTop="1" x14ac:dyDescent="0.3">
      <c r="A1" s="1203"/>
      <c r="AP1" s="1203"/>
    </row>
    <row r="2" spans="1:93" ht="21" customHeight="1" x14ac:dyDescent="0.3">
      <c r="A2" s="1204"/>
      <c r="C2" s="1352"/>
      <c r="D2" s="1352"/>
      <c r="E2" s="1352"/>
      <c r="F2" s="1352"/>
      <c r="G2" s="1352"/>
      <c r="H2" s="1352"/>
      <c r="I2" s="1352"/>
      <c r="J2" s="1352"/>
      <c r="K2" s="1352"/>
      <c r="L2" s="1352"/>
      <c r="M2" s="1352"/>
      <c r="N2" s="1352"/>
      <c r="O2" s="1352"/>
      <c r="P2" s="1352"/>
      <c r="Q2" s="1352"/>
      <c r="R2" s="1352"/>
      <c r="S2" s="1352"/>
      <c r="T2" s="1352"/>
      <c r="U2" s="1352"/>
      <c r="V2" s="1352"/>
      <c r="W2" s="1352"/>
      <c r="X2" s="1352"/>
      <c r="Y2" s="1352"/>
      <c r="Z2" s="1352"/>
      <c r="AA2" s="1352"/>
      <c r="AB2" s="1352"/>
      <c r="AC2" s="1352"/>
      <c r="AD2" s="1352"/>
      <c r="AE2" s="1352"/>
      <c r="AF2" s="1352"/>
      <c r="AG2" s="1352"/>
      <c r="AH2" s="1352"/>
      <c r="AI2" s="1352"/>
      <c r="AJ2" s="1352"/>
      <c r="AK2" s="1352"/>
      <c r="AL2" s="1352"/>
      <c r="AM2" s="1352"/>
      <c r="AN2" s="1352"/>
      <c r="AO2" s="1135"/>
      <c r="AP2" s="1204"/>
      <c r="AQ2" s="1135"/>
      <c r="AR2" s="1352"/>
      <c r="AS2" s="1352"/>
      <c r="AT2" s="1352"/>
      <c r="AU2" s="1352"/>
      <c r="AV2" s="1352"/>
      <c r="AW2" s="1352"/>
      <c r="AX2" s="1352"/>
      <c r="AY2" s="1352"/>
      <c r="AZ2" s="1352"/>
      <c r="BA2" s="1352"/>
      <c r="BB2" s="1352"/>
      <c r="BC2" s="1352"/>
      <c r="BD2" s="1352"/>
      <c r="BE2" s="1352"/>
      <c r="BF2" s="1352"/>
      <c r="BG2" s="1352"/>
      <c r="BH2" s="1352"/>
      <c r="BI2" s="1352"/>
      <c r="BJ2" s="1352"/>
      <c r="BK2" s="1352"/>
      <c r="BL2" s="1352"/>
      <c r="BM2" s="1352"/>
      <c r="BN2" s="1352"/>
      <c r="BO2" s="1352"/>
      <c r="BP2" s="1352"/>
      <c r="BQ2" s="1352"/>
      <c r="BR2" s="1352"/>
      <c r="BS2" s="1352"/>
      <c r="BT2" s="1352"/>
      <c r="BU2" s="1352"/>
      <c r="BV2" s="1352"/>
    </row>
    <row r="3" spans="1:93" ht="20.25" customHeight="1" thickBot="1" x14ac:dyDescent="0.35">
      <c r="A3" s="1204"/>
      <c r="AP3" s="1204"/>
    </row>
    <row r="4" spans="1:93" ht="19.5" customHeight="1" thickTop="1" thickBot="1" x14ac:dyDescent="0.35">
      <c r="A4" s="1204"/>
      <c r="C4" s="1200" t="s">
        <v>287</v>
      </c>
      <c r="H4" s="1217"/>
      <c r="K4" s="1619" t="s">
        <v>786</v>
      </c>
      <c r="L4" s="1620"/>
      <c r="M4" s="1620"/>
      <c r="N4" s="1620"/>
      <c r="O4" s="1620"/>
      <c r="P4" s="1620"/>
      <c r="Q4" s="1620"/>
      <c r="R4" s="1620"/>
      <c r="S4" s="1620"/>
      <c r="T4" s="1620"/>
      <c r="U4" s="1620"/>
      <c r="V4" s="1620"/>
      <c r="W4" s="1620"/>
      <c r="X4" s="1620"/>
      <c r="Y4" s="1620"/>
      <c r="Z4" s="1620"/>
      <c r="AA4" s="1620"/>
      <c r="AB4" s="1620"/>
      <c r="AC4" s="1620"/>
      <c r="AD4" s="1621" t="s">
        <v>787</v>
      </c>
      <c r="AE4" s="1622"/>
      <c r="AF4" s="1622"/>
      <c r="AG4" s="1622"/>
      <c r="AH4" s="1622"/>
      <c r="AI4" s="1622"/>
      <c r="AJ4" s="1623" t="s">
        <v>788</v>
      </c>
      <c r="AK4" s="1623"/>
      <c r="AL4" s="1623"/>
      <c r="AM4" s="1623"/>
      <c r="AN4" s="1623"/>
      <c r="AP4" s="1204"/>
    </row>
    <row r="5" spans="1:93" ht="20.25" customHeight="1" thickTop="1" thickBot="1" x14ac:dyDescent="0.35">
      <c r="A5" s="1204"/>
      <c r="C5" s="1201" t="s">
        <v>789</v>
      </c>
      <c r="K5" s="1618" t="str">
        <f t="shared" ref="K5:AN5" si="0">AR5</f>
        <v>Curva m/f 90</v>
      </c>
      <c r="L5" s="1618" t="str">
        <f t="shared" si="0"/>
        <v>Curva m/f curta 90</v>
      </c>
      <c r="M5" s="1618" t="str">
        <f t="shared" si="0"/>
        <v>Curva fêmea 90</v>
      </c>
      <c r="N5" s="1618" t="str">
        <f t="shared" si="0"/>
        <v>Curva fêmea curta 90</v>
      </c>
      <c r="O5" s="1618" t="str">
        <f t="shared" si="0"/>
        <v>Curva macho 90</v>
      </c>
      <c r="P5" s="1618" t="str">
        <f t="shared" si="0"/>
        <v>Curva m/f 45</v>
      </c>
      <c r="Q5" s="1618" t="str">
        <f t="shared" si="0"/>
        <v>Curva  fêmea 45</v>
      </c>
      <c r="R5" s="1618" t="str">
        <f t="shared" si="0"/>
        <v>União de cruzamento</v>
      </c>
      <c r="S5" s="1618" t="str">
        <f t="shared" si="0"/>
        <v>Joelho simples 90</v>
      </c>
      <c r="T5" s="1618" t="str">
        <f t="shared" si="0"/>
        <v>Joelho m/f simples 90</v>
      </c>
      <c r="U5" s="1618" t="str">
        <f t="shared" si="0"/>
        <v>Joelho simples 45</v>
      </c>
      <c r="V5" s="1618" t="str">
        <f t="shared" si="0"/>
        <v>Tê simples 90</v>
      </c>
      <c r="W5" s="1618" t="str">
        <f t="shared" si="0"/>
        <v>Tê de redução</v>
      </c>
      <c r="X5" s="1618" t="str">
        <f t="shared" si="0"/>
        <v>Cruzeta</v>
      </c>
      <c r="Y5" s="1618" t="str">
        <f t="shared" si="0"/>
        <v>Joelho de 3 vias</v>
      </c>
      <c r="Z5" s="1618" t="str">
        <f t="shared" si="0"/>
        <v>União de redução</v>
      </c>
      <c r="AA5" s="1618" t="str">
        <f t="shared" si="0"/>
        <v>União simples</v>
      </c>
      <c r="AB5" s="1618" t="str">
        <f t="shared" si="0"/>
        <v>Junção sede plana</v>
      </c>
      <c r="AC5" s="1618" t="str">
        <f t="shared" si="0"/>
        <v>Junção sede cónica</v>
      </c>
      <c r="AD5" s="1618" t="str">
        <f t="shared" si="0"/>
        <v>União ranhurada</v>
      </c>
      <c r="AE5" s="1618" t="str">
        <f t="shared" si="0"/>
        <v>Uniáo de red. ranhurada</v>
      </c>
      <c r="AF5" s="1618" t="str">
        <f t="shared" si="0"/>
        <v>Joelho 90º ranhurado</v>
      </c>
      <c r="AG5" s="1618" t="str">
        <f t="shared" si="0"/>
        <v>Joelho 45º ranhurado</v>
      </c>
      <c r="AH5" s="1618" t="str">
        <f t="shared" si="0"/>
        <v>Tê ranhurado</v>
      </c>
      <c r="AI5" s="1618" t="str">
        <f t="shared" si="0"/>
        <v>Derivação roscada</v>
      </c>
      <c r="AJ5" s="1618" t="str">
        <f t="shared" si="0"/>
        <v>Válvula de comporta</v>
      </c>
      <c r="AK5" s="1618" t="str">
        <f t="shared" si="0"/>
        <v>Válvula de globo</v>
      </c>
      <c r="AL5" s="1618" t="str">
        <f t="shared" si="0"/>
        <v>Válvula de retenção</v>
      </c>
      <c r="AM5" s="1618" t="str">
        <f t="shared" si="0"/>
        <v>Válvula de aspiração</v>
      </c>
      <c r="AN5" s="1618" t="str">
        <f t="shared" si="0"/>
        <v>Válvula de corte BI</v>
      </c>
      <c r="AP5" s="1204"/>
      <c r="AR5" s="1608" t="str">
        <f>$BX$13</f>
        <v>Curva m/f 90</v>
      </c>
      <c r="AS5" s="1608" t="str">
        <f>$BX$14</f>
        <v>Curva m/f curta 90</v>
      </c>
      <c r="AT5" s="1608" t="str">
        <f>$BX$15</f>
        <v>Curva fêmea 90</v>
      </c>
      <c r="AU5" s="1608" t="str">
        <f>$BX$16</f>
        <v>Curva fêmea curta 90</v>
      </c>
      <c r="AV5" s="1608" t="str">
        <f>$BX$17</f>
        <v>Curva macho 90</v>
      </c>
      <c r="AW5" s="1608" t="str">
        <f>$BX$18</f>
        <v>Curva m/f 45</v>
      </c>
      <c r="AX5" s="1608" t="str">
        <f>$BX$19</f>
        <v>Curva  fêmea 45</v>
      </c>
      <c r="AY5" s="1608" t="str">
        <f>$BX$20</f>
        <v>União de cruzamento</v>
      </c>
      <c r="AZ5" s="1608" t="str">
        <f>$BX$21</f>
        <v>Joelho simples 90</v>
      </c>
      <c r="BA5" s="1608" t="str">
        <f>$BX$23</f>
        <v>Joelho m/f simples 90</v>
      </c>
      <c r="BB5" s="1608" t="str">
        <f>$BX$29</f>
        <v>Joelho simples 45</v>
      </c>
      <c r="BC5" s="1608" t="str">
        <f>$BX$31</f>
        <v>Tê simples 90</v>
      </c>
      <c r="BD5" s="1608" t="str">
        <f>$BX$34</f>
        <v>Tê de redução</v>
      </c>
      <c r="BE5" s="1608" t="str">
        <f>$BX$44</f>
        <v>Cruzeta</v>
      </c>
      <c r="BF5" s="1608" t="str">
        <f>$BX$46</f>
        <v>Joelho de 3 vias</v>
      </c>
      <c r="BG5" s="1608" t="str">
        <f>$BX$47</f>
        <v>União de redução</v>
      </c>
      <c r="BH5" s="1608" t="str">
        <f>$BX$51</f>
        <v>União simples</v>
      </c>
      <c r="BI5" s="1608" t="str">
        <f>$BX$55</f>
        <v>Junção sede plana</v>
      </c>
      <c r="BJ5" s="1608" t="str">
        <f>$BX$57</f>
        <v>Junção sede cónica</v>
      </c>
      <c r="BK5" s="1608" t="str">
        <f>$BX$63</f>
        <v>União ranhurada</v>
      </c>
      <c r="BL5" s="1608" t="str">
        <f>$BX$64</f>
        <v>Uniáo de red. ranhurada</v>
      </c>
      <c r="BM5" s="1608" t="str">
        <f>$BX$65</f>
        <v>Joelho 90º ranhurado</v>
      </c>
      <c r="BN5" s="1608" t="str">
        <f>$BX$66</f>
        <v>Joelho 45º ranhurado</v>
      </c>
      <c r="BO5" s="1608" t="str">
        <f>$BX$67</f>
        <v>Tê ranhurado</v>
      </c>
      <c r="BP5" s="1608" t="str">
        <f>$BX$69</f>
        <v>Derivação roscada</v>
      </c>
      <c r="BQ5" s="1608" t="str">
        <f>$BX$72</f>
        <v>Válvula de comporta</v>
      </c>
      <c r="BR5" s="1608" t="str">
        <f>$BX$73</f>
        <v>Válvula de globo</v>
      </c>
      <c r="BS5" s="1608" t="str">
        <f>$BX$74</f>
        <v>Válvula de retenção</v>
      </c>
      <c r="BT5" s="1608" t="str">
        <f>$BX$76</f>
        <v>Válvula de aspiração</v>
      </c>
      <c r="BU5" s="1608" t="str">
        <f>$BX$77</f>
        <v>Válvula de corte BI</v>
      </c>
    </row>
    <row r="6" spans="1:93" ht="20.25" customHeight="1" thickTop="1" thickBot="1" x14ac:dyDescent="0.35">
      <c r="A6" s="1204"/>
      <c r="C6" s="1202" t="s">
        <v>790</v>
      </c>
      <c r="K6" s="1609"/>
      <c r="L6" s="1609"/>
      <c r="M6" s="1609"/>
      <c r="N6" s="1609"/>
      <c r="O6" s="1609"/>
      <c r="P6" s="1609"/>
      <c r="Q6" s="1609"/>
      <c r="R6" s="1609"/>
      <c r="S6" s="1609"/>
      <c r="T6" s="1609"/>
      <c r="U6" s="1609"/>
      <c r="V6" s="1609"/>
      <c r="W6" s="1609"/>
      <c r="X6" s="1609"/>
      <c r="Y6" s="1609"/>
      <c r="Z6" s="1609"/>
      <c r="AA6" s="1609"/>
      <c r="AB6" s="1609"/>
      <c r="AC6" s="1609"/>
      <c r="AD6" s="1609"/>
      <c r="AE6" s="1609"/>
      <c r="AF6" s="1609"/>
      <c r="AG6" s="1609"/>
      <c r="AH6" s="1609"/>
      <c r="AI6" s="1609"/>
      <c r="AJ6" s="1609"/>
      <c r="AK6" s="1609"/>
      <c r="AL6" s="1609"/>
      <c r="AM6" s="1609"/>
      <c r="AN6" s="1609"/>
      <c r="AP6" s="1204"/>
      <c r="AR6" s="1609"/>
      <c r="AS6" s="1609"/>
      <c r="AT6" s="1609"/>
      <c r="AU6" s="1609"/>
      <c r="AV6" s="1609"/>
      <c r="AW6" s="1609"/>
      <c r="AX6" s="1609"/>
      <c r="AY6" s="1609"/>
      <c r="AZ6" s="1609"/>
      <c r="BA6" s="1609"/>
      <c r="BB6" s="1609"/>
      <c r="BC6" s="1609"/>
      <c r="BD6" s="1609"/>
      <c r="BE6" s="1609"/>
      <c r="BF6" s="1609"/>
      <c r="BG6" s="1609"/>
      <c r="BH6" s="1609"/>
      <c r="BI6" s="1609"/>
      <c r="BJ6" s="1609"/>
      <c r="BK6" s="1609"/>
      <c r="BL6" s="1609"/>
      <c r="BM6" s="1609"/>
      <c r="BN6" s="1609"/>
      <c r="BO6" s="1609"/>
      <c r="BP6" s="1609"/>
      <c r="BQ6" s="1609"/>
      <c r="BR6" s="1609"/>
      <c r="BS6" s="1609"/>
      <c r="BT6" s="1609"/>
      <c r="BU6" s="1609"/>
    </row>
    <row r="7" spans="1:93" ht="21" customHeight="1" thickTop="1" thickBot="1" x14ac:dyDescent="0.45">
      <c r="A7" s="1204"/>
      <c r="C7" s="286">
        <v>1</v>
      </c>
      <c r="D7" s="286">
        <v>2</v>
      </c>
      <c r="E7" s="286">
        <v>3</v>
      </c>
      <c r="F7" s="286">
        <v>16</v>
      </c>
      <c r="G7" s="286">
        <v>7</v>
      </c>
      <c r="H7" s="286">
        <v>7</v>
      </c>
      <c r="I7" s="286">
        <v>7</v>
      </c>
      <c r="K7" s="1609"/>
      <c r="L7" s="1609"/>
      <c r="M7" s="1609"/>
      <c r="N7" s="1609"/>
      <c r="O7" s="1609"/>
      <c r="P7" s="1609"/>
      <c r="Q7" s="1609"/>
      <c r="R7" s="1609"/>
      <c r="S7" s="1609"/>
      <c r="T7" s="1609"/>
      <c r="U7" s="1609"/>
      <c r="V7" s="1609"/>
      <c r="W7" s="1609"/>
      <c r="X7" s="1609"/>
      <c r="Y7" s="1609"/>
      <c r="Z7" s="1609"/>
      <c r="AA7" s="1609"/>
      <c r="AB7" s="1609"/>
      <c r="AC7" s="1609"/>
      <c r="AD7" s="1609"/>
      <c r="AE7" s="1609"/>
      <c r="AF7" s="1609"/>
      <c r="AG7" s="1609"/>
      <c r="AH7" s="1609"/>
      <c r="AI7" s="1609"/>
      <c r="AJ7" s="1609"/>
      <c r="AK7" s="1609"/>
      <c r="AL7" s="1609"/>
      <c r="AM7" s="1609"/>
      <c r="AN7" s="1609"/>
      <c r="AP7" s="1204"/>
      <c r="AR7" s="1609"/>
      <c r="AS7" s="1609"/>
      <c r="AT7" s="1609"/>
      <c r="AU7" s="1609"/>
      <c r="AV7" s="1609"/>
      <c r="AW7" s="1609"/>
      <c r="AX7" s="1609"/>
      <c r="AY7" s="1609"/>
      <c r="AZ7" s="1609"/>
      <c r="BA7" s="1609"/>
      <c r="BB7" s="1609"/>
      <c r="BC7" s="1609"/>
      <c r="BD7" s="1609"/>
      <c r="BE7" s="1609"/>
      <c r="BF7" s="1609"/>
      <c r="BG7" s="1609"/>
      <c r="BH7" s="1609"/>
      <c r="BI7" s="1609"/>
      <c r="BJ7" s="1609"/>
      <c r="BK7" s="1609"/>
      <c r="BL7" s="1609"/>
      <c r="BM7" s="1609"/>
      <c r="BN7" s="1609"/>
      <c r="BO7" s="1609"/>
      <c r="BP7" s="1609"/>
      <c r="BQ7" s="1609"/>
      <c r="BR7" s="1609"/>
      <c r="BS7" s="1609"/>
      <c r="BT7" s="1609"/>
      <c r="BU7" s="1609"/>
      <c r="BY7" s="1136"/>
      <c r="BZ7" s="1136"/>
      <c r="CA7" s="1136"/>
      <c r="CB7" s="1136"/>
      <c r="CC7" s="1136"/>
      <c r="CD7" s="1136"/>
      <c r="CE7" s="1137"/>
      <c r="CF7" s="1136"/>
      <c r="CG7" s="1136"/>
      <c r="CH7" s="1136"/>
      <c r="CI7" s="1136"/>
    </row>
    <row r="8" spans="1:93" ht="16.3" thickTop="1" thickBot="1" x14ac:dyDescent="0.45">
      <c r="A8" s="1204"/>
      <c r="C8" s="1265"/>
      <c r="D8" s="1610" t="str">
        <f>'Cálc. Sist. Extinção Automática'!F20</f>
        <v>0.2</v>
      </c>
      <c r="E8" s="1611"/>
      <c r="F8" s="1265" t="s">
        <v>825</v>
      </c>
      <c r="G8" s="1265" t="s">
        <v>380</v>
      </c>
      <c r="H8" s="1265" t="s">
        <v>791</v>
      </c>
      <c r="I8" s="1266" t="s">
        <v>792</v>
      </c>
      <c r="K8" s="1609"/>
      <c r="L8" s="1609"/>
      <c r="M8" s="1609"/>
      <c r="N8" s="1609"/>
      <c r="O8" s="1609"/>
      <c r="P8" s="1609"/>
      <c r="Q8" s="1609"/>
      <c r="R8" s="1609"/>
      <c r="S8" s="1609"/>
      <c r="T8" s="1609"/>
      <c r="U8" s="1609"/>
      <c r="V8" s="1609"/>
      <c r="W8" s="1609"/>
      <c r="X8" s="1609"/>
      <c r="Y8" s="1609"/>
      <c r="Z8" s="1609"/>
      <c r="AA8" s="1609"/>
      <c r="AB8" s="1609"/>
      <c r="AC8" s="1609"/>
      <c r="AD8" s="1609"/>
      <c r="AE8" s="1609"/>
      <c r="AF8" s="1609"/>
      <c r="AG8" s="1609"/>
      <c r="AH8" s="1609"/>
      <c r="AI8" s="1609"/>
      <c r="AJ8" s="1609"/>
      <c r="AK8" s="1609"/>
      <c r="AL8" s="1609"/>
      <c r="AM8" s="1609"/>
      <c r="AN8" s="1609"/>
      <c r="AP8" s="1204"/>
      <c r="AR8" s="1609"/>
      <c r="AS8" s="1609"/>
      <c r="AT8" s="1609"/>
      <c r="AU8" s="1609"/>
      <c r="AV8" s="1609"/>
      <c r="AW8" s="1609"/>
      <c r="AX8" s="1609"/>
      <c r="AY8" s="1609"/>
      <c r="AZ8" s="1609"/>
      <c r="BA8" s="1609"/>
      <c r="BB8" s="1609"/>
      <c r="BC8" s="1609"/>
      <c r="BD8" s="1609"/>
      <c r="BE8" s="1609"/>
      <c r="BF8" s="1609"/>
      <c r="BG8" s="1609"/>
      <c r="BH8" s="1609"/>
      <c r="BI8" s="1609"/>
      <c r="BJ8" s="1609"/>
      <c r="BK8" s="1609"/>
      <c r="BL8" s="1609"/>
      <c r="BM8" s="1609"/>
      <c r="BN8" s="1609"/>
      <c r="BO8" s="1609"/>
      <c r="BP8" s="1609"/>
      <c r="BQ8" s="1609"/>
      <c r="BR8" s="1609"/>
      <c r="BS8" s="1609"/>
      <c r="BT8" s="1609"/>
      <c r="BU8" s="1609"/>
      <c r="BW8" s="1138" t="s">
        <v>199</v>
      </c>
      <c r="BX8" s="1138" t="s">
        <v>201</v>
      </c>
      <c r="BZ8" s="1136"/>
      <c r="CA8" s="1136"/>
      <c r="CB8" s="1136"/>
      <c r="CC8" s="1136"/>
      <c r="CD8" s="1136"/>
      <c r="CE8" s="1137"/>
      <c r="CF8" s="1136"/>
      <c r="CG8" s="1136"/>
      <c r="CH8" s="1136"/>
      <c r="CI8" s="1136"/>
    </row>
    <row r="9" spans="1:93" ht="18" customHeight="1" thickTop="1" thickBot="1" x14ac:dyDescent="0.55000000000000004">
      <c r="A9" s="1204"/>
      <c r="C9" s="1612" t="s">
        <v>60</v>
      </c>
      <c r="D9" s="1613"/>
      <c r="E9" s="1614"/>
      <c r="F9" s="1139" t="s">
        <v>74</v>
      </c>
      <c r="G9" s="1615" t="s">
        <v>793</v>
      </c>
      <c r="H9" s="1616"/>
      <c r="I9" s="1617"/>
      <c r="K9" s="1609"/>
      <c r="L9" s="1609"/>
      <c r="M9" s="1609"/>
      <c r="N9" s="1609"/>
      <c r="O9" s="1609"/>
      <c r="P9" s="1609"/>
      <c r="Q9" s="1609"/>
      <c r="R9" s="1609"/>
      <c r="S9" s="1609"/>
      <c r="T9" s="1609"/>
      <c r="U9" s="1609"/>
      <c r="V9" s="1609"/>
      <c r="W9" s="1609"/>
      <c r="X9" s="1609"/>
      <c r="Y9" s="1609"/>
      <c r="Z9" s="1609"/>
      <c r="AA9" s="1609"/>
      <c r="AB9" s="1609"/>
      <c r="AC9" s="1609"/>
      <c r="AD9" s="1609"/>
      <c r="AE9" s="1609"/>
      <c r="AF9" s="1609"/>
      <c r="AG9" s="1609"/>
      <c r="AH9" s="1609"/>
      <c r="AI9" s="1609"/>
      <c r="AJ9" s="1609"/>
      <c r="AK9" s="1609"/>
      <c r="AL9" s="1609"/>
      <c r="AM9" s="1609"/>
      <c r="AN9" s="1609"/>
      <c r="AP9" s="1204"/>
      <c r="AR9" s="1609"/>
      <c r="AS9" s="1609"/>
      <c r="AT9" s="1609"/>
      <c r="AU9" s="1609"/>
      <c r="AV9" s="1609"/>
      <c r="AW9" s="1609"/>
      <c r="AX9" s="1609"/>
      <c r="AY9" s="1609"/>
      <c r="AZ9" s="1609"/>
      <c r="BA9" s="1609"/>
      <c r="BB9" s="1609"/>
      <c r="BC9" s="1609"/>
      <c r="BD9" s="1609"/>
      <c r="BE9" s="1609"/>
      <c r="BF9" s="1609"/>
      <c r="BG9" s="1609"/>
      <c r="BH9" s="1609"/>
      <c r="BI9" s="1609"/>
      <c r="BJ9" s="1609"/>
      <c r="BK9" s="1609"/>
      <c r="BL9" s="1609"/>
      <c r="BM9" s="1609"/>
      <c r="BN9" s="1609"/>
      <c r="BO9" s="1609"/>
      <c r="BP9" s="1609"/>
      <c r="BQ9" s="1609"/>
      <c r="BR9" s="1609"/>
      <c r="BS9" s="1609"/>
      <c r="BT9" s="1609"/>
      <c r="BU9" s="1609"/>
      <c r="BW9" s="1140" t="s">
        <v>200</v>
      </c>
      <c r="BX9" s="1141"/>
      <c r="BY9" s="1141"/>
      <c r="BZ9" s="1596" t="s">
        <v>202</v>
      </c>
      <c r="CA9" s="1597"/>
      <c r="CB9" s="1597"/>
      <c r="CC9" s="1597"/>
      <c r="CD9" s="1597"/>
      <c r="CE9" s="1597"/>
      <c r="CF9" s="1597"/>
      <c r="CG9" s="1597"/>
      <c r="CH9" s="1597"/>
      <c r="CI9" s="1597"/>
      <c r="CJ9" s="1597"/>
      <c r="CK9" s="1597"/>
      <c r="CL9" s="1597"/>
    </row>
    <row r="10" spans="1:93" ht="15.75" customHeight="1" thickTop="1" thickBot="1" x14ac:dyDescent="0.35">
      <c r="A10" s="1204"/>
      <c r="C10" s="1598" t="s">
        <v>512</v>
      </c>
      <c r="D10" s="1599"/>
      <c r="E10" s="1600"/>
      <c r="F10" s="1073" t="s">
        <v>794</v>
      </c>
      <c r="G10" s="1072" t="s">
        <v>795</v>
      </c>
      <c r="H10" s="1142" t="s">
        <v>796</v>
      </c>
      <c r="I10" s="1143" t="s">
        <v>797</v>
      </c>
      <c r="K10" s="1144">
        <f>K11</f>
        <v>0</v>
      </c>
      <c r="L10" s="1145">
        <f t="shared" ref="L10:AN10" si="1">L11</f>
        <v>0</v>
      </c>
      <c r="M10" s="1145">
        <f t="shared" si="1"/>
        <v>0</v>
      </c>
      <c r="N10" s="1145">
        <f t="shared" si="1"/>
        <v>0</v>
      </c>
      <c r="O10" s="1145">
        <f t="shared" si="1"/>
        <v>0</v>
      </c>
      <c r="P10" s="1145">
        <f t="shared" si="1"/>
        <v>0</v>
      </c>
      <c r="Q10" s="1145">
        <f t="shared" si="1"/>
        <v>0</v>
      </c>
      <c r="R10" s="1145">
        <f t="shared" si="1"/>
        <v>0</v>
      </c>
      <c r="S10" s="1145">
        <f t="shared" si="1"/>
        <v>0</v>
      </c>
      <c r="T10" s="1145">
        <f t="shared" si="1"/>
        <v>0</v>
      </c>
      <c r="U10" s="1145">
        <f t="shared" si="1"/>
        <v>0</v>
      </c>
      <c r="V10" s="1145">
        <f t="shared" si="1"/>
        <v>0</v>
      </c>
      <c r="W10" s="1145">
        <f t="shared" si="1"/>
        <v>0</v>
      </c>
      <c r="X10" s="1145">
        <f t="shared" si="1"/>
        <v>0</v>
      </c>
      <c r="Y10" s="1145">
        <f t="shared" si="1"/>
        <v>0</v>
      </c>
      <c r="Z10" s="1145">
        <f t="shared" si="1"/>
        <v>0</v>
      </c>
      <c r="AA10" s="1145">
        <f t="shared" si="1"/>
        <v>0</v>
      </c>
      <c r="AB10" s="1145">
        <f t="shared" si="1"/>
        <v>0</v>
      </c>
      <c r="AC10" s="1145">
        <f t="shared" si="1"/>
        <v>0</v>
      </c>
      <c r="AD10" s="1145">
        <f t="shared" si="1"/>
        <v>0</v>
      </c>
      <c r="AE10" s="1145">
        <f t="shared" si="1"/>
        <v>0</v>
      </c>
      <c r="AF10" s="1145">
        <f t="shared" si="1"/>
        <v>0</v>
      </c>
      <c r="AG10" s="1145">
        <f t="shared" si="1"/>
        <v>0</v>
      </c>
      <c r="AH10" s="1145">
        <f t="shared" si="1"/>
        <v>0</v>
      </c>
      <c r="AI10" s="1145">
        <f t="shared" si="1"/>
        <v>0</v>
      </c>
      <c r="AJ10" s="1145">
        <f t="shared" si="1"/>
        <v>0</v>
      </c>
      <c r="AK10" s="1145">
        <f t="shared" si="1"/>
        <v>0</v>
      </c>
      <c r="AL10" s="1145">
        <f t="shared" si="1"/>
        <v>0</v>
      </c>
      <c r="AM10" s="1145">
        <f t="shared" si="1"/>
        <v>0</v>
      </c>
      <c r="AN10" s="1145">
        <f t="shared" si="1"/>
        <v>0</v>
      </c>
      <c r="AP10" s="1204"/>
      <c r="BZ10" s="1146">
        <v>1</v>
      </c>
      <c r="CA10" s="1146">
        <v>2</v>
      </c>
      <c r="CB10" s="1146">
        <v>3</v>
      </c>
      <c r="CC10" s="1146">
        <v>4</v>
      </c>
      <c r="CD10" s="1146">
        <v>5</v>
      </c>
      <c r="CE10" s="1146">
        <v>6</v>
      </c>
      <c r="CF10" s="1146">
        <v>7</v>
      </c>
      <c r="CG10" s="1146">
        <v>8</v>
      </c>
      <c r="CH10" s="1146">
        <v>9</v>
      </c>
      <c r="CI10" s="1146">
        <v>10</v>
      </c>
      <c r="CJ10" s="1146">
        <v>11</v>
      </c>
      <c r="CK10" s="1146">
        <v>12</v>
      </c>
      <c r="CL10" s="1146">
        <v>13</v>
      </c>
      <c r="CM10" s="1146">
        <v>14</v>
      </c>
      <c r="CN10" s="1146">
        <v>15</v>
      </c>
      <c r="CO10" s="1146">
        <v>16</v>
      </c>
    </row>
    <row r="11" spans="1:93" ht="18" customHeight="1" thickTop="1" thickBot="1" x14ac:dyDescent="0.35">
      <c r="A11" s="1204"/>
      <c r="C11" s="1147" t="s">
        <v>119</v>
      </c>
      <c r="D11" s="1148" t="s">
        <v>53</v>
      </c>
      <c r="E11" s="1148" t="s">
        <v>52</v>
      </c>
      <c r="F11" s="1149" t="s">
        <v>530</v>
      </c>
      <c r="G11" s="921" t="s">
        <v>798</v>
      </c>
      <c r="H11" s="1150" t="s">
        <v>799</v>
      </c>
      <c r="I11" s="1151" t="s">
        <v>800</v>
      </c>
      <c r="K11" s="1144">
        <f>AR11</f>
        <v>0</v>
      </c>
      <c r="L11" s="1144">
        <f t="shared" ref="L11:AN12" si="2">AS11</f>
        <v>0</v>
      </c>
      <c r="M11" s="1144">
        <f t="shared" si="2"/>
        <v>0</v>
      </c>
      <c r="N11" s="1144">
        <f t="shared" si="2"/>
        <v>0</v>
      </c>
      <c r="O11" s="1144">
        <f t="shared" si="2"/>
        <v>0</v>
      </c>
      <c r="P11" s="1144">
        <f t="shared" si="2"/>
        <v>0</v>
      </c>
      <c r="Q11" s="1144">
        <f t="shared" si="2"/>
        <v>0</v>
      </c>
      <c r="R11" s="1144">
        <f t="shared" si="2"/>
        <v>0</v>
      </c>
      <c r="S11" s="1144">
        <f t="shared" si="2"/>
        <v>0</v>
      </c>
      <c r="T11" s="1144">
        <f t="shared" si="2"/>
        <v>0</v>
      </c>
      <c r="U11" s="1144">
        <f t="shared" si="2"/>
        <v>0</v>
      </c>
      <c r="V11" s="1144">
        <f t="shared" si="2"/>
        <v>0</v>
      </c>
      <c r="W11" s="1144">
        <f t="shared" si="2"/>
        <v>0</v>
      </c>
      <c r="X11" s="1144">
        <f t="shared" si="2"/>
        <v>0</v>
      </c>
      <c r="Y11" s="1144">
        <f t="shared" si="2"/>
        <v>0</v>
      </c>
      <c r="Z11" s="1144">
        <f t="shared" si="2"/>
        <v>0</v>
      </c>
      <c r="AA11" s="1144">
        <f t="shared" si="2"/>
        <v>0</v>
      </c>
      <c r="AB11" s="1144">
        <f t="shared" si="2"/>
        <v>0</v>
      </c>
      <c r="AC11" s="1144">
        <f t="shared" si="2"/>
        <v>0</v>
      </c>
      <c r="AD11" s="1144">
        <f t="shared" si="2"/>
        <v>0</v>
      </c>
      <c r="AE11" s="1144">
        <f t="shared" si="2"/>
        <v>0</v>
      </c>
      <c r="AF11" s="1144">
        <f t="shared" si="2"/>
        <v>0</v>
      </c>
      <c r="AG11" s="1144">
        <f t="shared" si="2"/>
        <v>0</v>
      </c>
      <c r="AH11" s="1144">
        <f t="shared" si="2"/>
        <v>0</v>
      </c>
      <c r="AI11" s="1144">
        <f t="shared" si="2"/>
        <v>0</v>
      </c>
      <c r="AJ11" s="1144">
        <f t="shared" si="2"/>
        <v>0</v>
      </c>
      <c r="AK11" s="1144">
        <f t="shared" si="2"/>
        <v>0</v>
      </c>
      <c r="AL11" s="1144">
        <f t="shared" si="2"/>
        <v>0</v>
      </c>
      <c r="AM11" s="1144">
        <f t="shared" si="2"/>
        <v>0</v>
      </c>
      <c r="AN11" s="1144">
        <f t="shared" si="2"/>
        <v>0</v>
      </c>
      <c r="AO11" s="1"/>
      <c r="AP11" s="1210"/>
      <c r="AQ11" s="1"/>
      <c r="AR11" s="1211">
        <f>COUNTIF(AR13:AR37,0)</f>
        <v>0</v>
      </c>
      <c r="AS11" s="1211">
        <f t="shared" ref="AS11:BU11" si="3">COUNTIF(AS13:AS37,0)</f>
        <v>0</v>
      </c>
      <c r="AT11" s="1211">
        <f t="shared" si="3"/>
        <v>0</v>
      </c>
      <c r="AU11" s="1211">
        <f t="shared" si="3"/>
        <v>0</v>
      </c>
      <c r="AV11" s="1211">
        <f t="shared" si="3"/>
        <v>0</v>
      </c>
      <c r="AW11" s="1211">
        <f t="shared" si="3"/>
        <v>0</v>
      </c>
      <c r="AX11" s="1211">
        <f t="shared" si="3"/>
        <v>0</v>
      </c>
      <c r="AY11" s="1211">
        <f t="shared" si="3"/>
        <v>0</v>
      </c>
      <c r="AZ11" s="1211">
        <f t="shared" si="3"/>
        <v>0</v>
      </c>
      <c r="BA11" s="1211">
        <f t="shared" si="3"/>
        <v>0</v>
      </c>
      <c r="BB11" s="1211">
        <f t="shared" si="3"/>
        <v>0</v>
      </c>
      <c r="BC11" s="1211">
        <f t="shared" si="3"/>
        <v>0</v>
      </c>
      <c r="BD11" s="1211">
        <f t="shared" si="3"/>
        <v>0</v>
      </c>
      <c r="BE11" s="1211">
        <f t="shared" si="3"/>
        <v>0</v>
      </c>
      <c r="BF11" s="1211">
        <f t="shared" si="3"/>
        <v>0</v>
      </c>
      <c r="BG11" s="1211">
        <f t="shared" si="3"/>
        <v>0</v>
      </c>
      <c r="BH11" s="1211">
        <f t="shared" si="3"/>
        <v>0</v>
      </c>
      <c r="BI11" s="1211">
        <f t="shared" si="3"/>
        <v>0</v>
      </c>
      <c r="BJ11" s="1211">
        <f t="shared" si="3"/>
        <v>0</v>
      </c>
      <c r="BK11" s="1211">
        <f t="shared" si="3"/>
        <v>0</v>
      </c>
      <c r="BL11" s="1211">
        <f t="shared" si="3"/>
        <v>0</v>
      </c>
      <c r="BM11" s="1211">
        <f t="shared" si="3"/>
        <v>0</v>
      </c>
      <c r="BN11" s="1211">
        <f t="shared" si="3"/>
        <v>0</v>
      </c>
      <c r="BO11" s="1211">
        <f t="shared" si="3"/>
        <v>0</v>
      </c>
      <c r="BP11" s="1211">
        <f t="shared" si="3"/>
        <v>0</v>
      </c>
      <c r="BQ11" s="1211">
        <f t="shared" si="3"/>
        <v>0</v>
      </c>
      <c r="BR11" s="1211">
        <f t="shared" si="3"/>
        <v>0</v>
      </c>
      <c r="BS11" s="1211">
        <f t="shared" si="3"/>
        <v>0</v>
      </c>
      <c r="BT11" s="1211">
        <f t="shared" si="3"/>
        <v>0</v>
      </c>
      <c r="BU11" s="1211">
        <f t="shared" si="3"/>
        <v>0</v>
      </c>
      <c r="BV11" s="1"/>
      <c r="BW11" s="1601" t="s">
        <v>147</v>
      </c>
      <c r="BX11" s="1601" t="s">
        <v>801</v>
      </c>
      <c r="BY11" s="1152" t="s">
        <v>802</v>
      </c>
      <c r="BZ11" s="1153">
        <v>0.25</v>
      </c>
      <c r="CA11" s="1153">
        <v>0.375</v>
      </c>
      <c r="CB11" s="1153">
        <v>0.5</v>
      </c>
      <c r="CC11" s="1153">
        <v>0.75</v>
      </c>
      <c r="CD11" s="1153">
        <v>1</v>
      </c>
      <c r="CE11" s="1153">
        <v>1.25</v>
      </c>
      <c r="CF11" s="1153">
        <v>1.5</v>
      </c>
      <c r="CG11" s="1153">
        <v>2</v>
      </c>
      <c r="CH11" s="1153">
        <v>2.5</v>
      </c>
      <c r="CI11" s="1153">
        <v>3</v>
      </c>
      <c r="CJ11" s="1153">
        <v>4</v>
      </c>
      <c r="CK11" s="1153">
        <v>5</v>
      </c>
      <c r="CL11" s="1153">
        <v>6</v>
      </c>
      <c r="CM11" s="1153">
        <v>8</v>
      </c>
      <c r="CN11" s="1153">
        <v>10</v>
      </c>
      <c r="CO11" s="1153">
        <v>12</v>
      </c>
    </row>
    <row r="12" spans="1:93" ht="19.5" customHeight="1" thickTop="1" thickBot="1" x14ac:dyDescent="0.35">
      <c r="A12" s="1204"/>
      <c r="C12" s="1154" t="s">
        <v>502</v>
      </c>
      <c r="D12" s="511"/>
      <c r="E12" s="512"/>
      <c r="F12" s="1155"/>
      <c r="G12" s="1156" t="s">
        <v>40</v>
      </c>
      <c r="H12" s="1157" t="s">
        <v>40</v>
      </c>
      <c r="I12" s="1158" t="s">
        <v>40</v>
      </c>
      <c r="K12" s="1159">
        <f>AR12</f>
        <v>1</v>
      </c>
      <c r="L12" s="1159" t="str">
        <f t="shared" si="2"/>
        <v>1a</v>
      </c>
      <c r="M12" s="1159">
        <f t="shared" si="2"/>
        <v>2</v>
      </c>
      <c r="N12" s="1159" t="str">
        <f t="shared" si="2"/>
        <v>2a</v>
      </c>
      <c r="O12" s="1159">
        <f t="shared" si="2"/>
        <v>3</v>
      </c>
      <c r="P12" s="1159">
        <f t="shared" si="2"/>
        <v>40</v>
      </c>
      <c r="Q12" s="1159">
        <f t="shared" si="2"/>
        <v>41</v>
      </c>
      <c r="R12" s="1159">
        <f t="shared" si="2"/>
        <v>85</v>
      </c>
      <c r="S12" s="1159">
        <f t="shared" si="2"/>
        <v>90</v>
      </c>
      <c r="T12" s="1159">
        <f t="shared" si="2"/>
        <v>92</v>
      </c>
      <c r="U12" s="1159">
        <f t="shared" si="2"/>
        <v>120</v>
      </c>
      <c r="V12" s="1159">
        <f t="shared" si="2"/>
        <v>130</v>
      </c>
      <c r="W12" s="1159" t="str">
        <f t="shared" si="2"/>
        <v>130R</v>
      </c>
      <c r="X12" s="1159">
        <f t="shared" si="2"/>
        <v>180</v>
      </c>
      <c r="Y12" s="1159">
        <f t="shared" si="2"/>
        <v>221</v>
      </c>
      <c r="Z12" s="1159">
        <f t="shared" si="2"/>
        <v>240</v>
      </c>
      <c r="AA12" s="1159">
        <f t="shared" si="2"/>
        <v>270</v>
      </c>
      <c r="AB12" s="1159">
        <f t="shared" si="2"/>
        <v>330</v>
      </c>
      <c r="AC12" s="1159">
        <f t="shared" si="2"/>
        <v>340</v>
      </c>
      <c r="AD12" s="1160" t="str">
        <f t="shared" si="2"/>
        <v>RN</v>
      </c>
      <c r="AE12" s="1160" t="str">
        <f t="shared" si="2"/>
        <v>FR</v>
      </c>
      <c r="AF12" s="1160">
        <f t="shared" si="2"/>
        <v>90</v>
      </c>
      <c r="AG12" s="1160">
        <f t="shared" si="2"/>
        <v>120</v>
      </c>
      <c r="AH12" s="1160">
        <f t="shared" si="2"/>
        <v>130</v>
      </c>
      <c r="AI12" s="1160" t="str">
        <f t="shared" si="2"/>
        <v>DA1</v>
      </c>
      <c r="AJ12" s="1161">
        <f t="shared" si="2"/>
        <v>600</v>
      </c>
      <c r="AK12" s="1161">
        <f t="shared" si="2"/>
        <v>172</v>
      </c>
      <c r="AL12" s="1161">
        <f t="shared" si="2"/>
        <v>640</v>
      </c>
      <c r="AM12" s="1161">
        <f t="shared" si="2"/>
        <v>196</v>
      </c>
      <c r="AN12" s="1161" t="str">
        <f t="shared" si="2"/>
        <v>BI</v>
      </c>
      <c r="AO12" s="1"/>
      <c r="AP12" s="1210"/>
      <c r="AQ12" s="1"/>
      <c r="AR12" s="1162">
        <f>$BW$13</f>
        <v>1</v>
      </c>
      <c r="AS12" s="1162" t="str">
        <f>$BW$14</f>
        <v>1a</v>
      </c>
      <c r="AT12" s="1162">
        <f>$BW$15</f>
        <v>2</v>
      </c>
      <c r="AU12" s="1162" t="str">
        <f>$BW$16</f>
        <v>2a</v>
      </c>
      <c r="AV12" s="1162">
        <f>$BW$17</f>
        <v>3</v>
      </c>
      <c r="AW12" s="1162">
        <f>$BW$18</f>
        <v>40</v>
      </c>
      <c r="AX12" s="1162">
        <f>$BW$19</f>
        <v>41</v>
      </c>
      <c r="AY12" s="1162">
        <f>$BW$20</f>
        <v>85</v>
      </c>
      <c r="AZ12" s="1162">
        <f>$BW$21</f>
        <v>90</v>
      </c>
      <c r="BA12" s="1162">
        <f>$BW$23</f>
        <v>92</v>
      </c>
      <c r="BB12" s="1162">
        <f>$BW$29</f>
        <v>120</v>
      </c>
      <c r="BC12" s="1162">
        <f>$BW$31</f>
        <v>130</v>
      </c>
      <c r="BD12" s="1162" t="str">
        <f>$BW$34</f>
        <v>130R</v>
      </c>
      <c r="BE12" s="1162">
        <f>$BW$44</f>
        <v>180</v>
      </c>
      <c r="BF12" s="1162">
        <f>$BW$46</f>
        <v>221</v>
      </c>
      <c r="BG12" s="1162">
        <f>$BW$47</f>
        <v>240</v>
      </c>
      <c r="BH12" s="1162">
        <f>$BW$51</f>
        <v>270</v>
      </c>
      <c r="BI12" s="1162">
        <f>$BW$55</f>
        <v>330</v>
      </c>
      <c r="BJ12" s="1162">
        <f>$BW$57</f>
        <v>340</v>
      </c>
      <c r="BK12" s="1163" t="str">
        <f>$BW$63</f>
        <v>RN</v>
      </c>
      <c r="BL12" s="1163" t="str">
        <f>$BW$64</f>
        <v>FR</v>
      </c>
      <c r="BM12" s="1163">
        <f>$BW$65</f>
        <v>90</v>
      </c>
      <c r="BN12" s="1163">
        <f>$BW$66</f>
        <v>120</v>
      </c>
      <c r="BO12" s="1163">
        <f>$BW$67</f>
        <v>130</v>
      </c>
      <c r="BP12" s="1163" t="str">
        <f>$BW$69</f>
        <v>DA1</v>
      </c>
      <c r="BQ12" s="1164">
        <f>$BW$72</f>
        <v>600</v>
      </c>
      <c r="BR12" s="1164">
        <f>$BW$73</f>
        <v>172</v>
      </c>
      <c r="BS12" s="1164">
        <f>$BW$74</f>
        <v>640</v>
      </c>
      <c r="BT12" s="1164">
        <f>$BW$76</f>
        <v>196</v>
      </c>
      <c r="BU12" s="1164" t="str">
        <f>$BW$77</f>
        <v>BI</v>
      </c>
      <c r="BV12" s="1"/>
      <c r="BW12" s="1602"/>
      <c r="BX12" s="1603"/>
      <c r="BY12" s="1165" t="s">
        <v>803</v>
      </c>
      <c r="BZ12" s="1166" t="s">
        <v>149</v>
      </c>
      <c r="CA12" s="1166" t="s">
        <v>150</v>
      </c>
      <c r="CB12" s="1166" t="s">
        <v>151</v>
      </c>
      <c r="CC12" s="1166" t="s">
        <v>152</v>
      </c>
      <c r="CD12" s="1166" t="s">
        <v>153</v>
      </c>
      <c r="CE12" s="1166" t="s">
        <v>154</v>
      </c>
      <c r="CF12" s="1166" t="s">
        <v>155</v>
      </c>
      <c r="CG12" s="1166" t="s">
        <v>156</v>
      </c>
      <c r="CH12" s="1166" t="s">
        <v>157</v>
      </c>
      <c r="CI12" s="1166" t="s">
        <v>158</v>
      </c>
      <c r="CJ12" s="1166" t="s">
        <v>20</v>
      </c>
      <c r="CK12" s="1166" t="s">
        <v>21</v>
      </c>
      <c r="CL12" s="1166" t="s">
        <v>22</v>
      </c>
      <c r="CM12" s="1166" t="s">
        <v>310</v>
      </c>
      <c r="CN12" s="1166" t="s">
        <v>311</v>
      </c>
      <c r="CO12" s="1166" t="s">
        <v>312</v>
      </c>
    </row>
    <row r="13" spans="1:93" s="769" customFormat="1" ht="15.75" customHeight="1" thickTop="1" thickBot="1" x14ac:dyDescent="0.35">
      <c r="A13" s="1205"/>
      <c r="C13" s="1167" t="str">
        <f>'Cálc. Sist. Extinção Automática'!E25</f>
        <v/>
      </c>
      <c r="D13" s="1168" t="str">
        <f>IF('Cálc. Sist. Extinção Automática'!F25="","",'Cálc. Sist. Extinção Automática'!F25)</f>
        <v/>
      </c>
      <c r="E13" s="1168" t="str">
        <f>IF('Cálc. Sist. Extinção Automática'!G25="","",'Cálc. Sist. Extinção Automática'!G25)</f>
        <v/>
      </c>
      <c r="F13" s="1169" t="str">
        <f>IF('Cálc. Sist. Extinção Automática'!AA25="","",'Cálc. Sist. Extinção Automática'!AA25)</f>
        <v/>
      </c>
      <c r="G13" s="1279" t="str">
        <f>IF(F13="","",IF(ABS(H13)+I13=0,"",ABS(H13)+I13))</f>
        <v/>
      </c>
      <c r="H13" s="1170"/>
      <c r="I13" s="1218" t="str">
        <f>IF(F13="","",SUM(AR13:BU13))</f>
        <v/>
      </c>
      <c r="J13" s="1259"/>
      <c r="K13" s="1171"/>
      <c r="L13" s="1171"/>
      <c r="M13" s="1171"/>
      <c r="N13" s="1171"/>
      <c r="O13" s="1171"/>
      <c r="P13" s="1171"/>
      <c r="Q13" s="1171"/>
      <c r="R13" s="1171"/>
      <c r="S13" s="1171"/>
      <c r="T13" s="1171"/>
      <c r="U13" s="1171"/>
      <c r="V13" s="1171"/>
      <c r="W13" s="1171"/>
      <c r="X13" s="1171"/>
      <c r="Y13" s="1171"/>
      <c r="Z13" s="1171"/>
      <c r="AA13" s="1171"/>
      <c r="AB13" s="1171"/>
      <c r="AC13" s="1171"/>
      <c r="AD13" s="1171"/>
      <c r="AE13" s="1171"/>
      <c r="AF13" s="1171"/>
      <c r="AG13" s="1171"/>
      <c r="AH13" s="1171"/>
      <c r="AI13" s="1171"/>
      <c r="AJ13" s="1171"/>
      <c r="AK13" s="1171"/>
      <c r="AL13" s="1171"/>
      <c r="AM13" s="1171"/>
      <c r="AN13" s="1171"/>
      <c r="AO13" s="3"/>
      <c r="AP13" s="1212"/>
      <c r="AQ13" s="3"/>
      <c r="AR13" s="1198" t="str">
        <f t="shared" ref="AR13:AR37" si="4">IF(OR($F13="",K13=""),"",IF(K13="x",LOOKUP(MATCH($F13,$BZ$11:$CO$11,0),$BZ$10:$CO$10,$BZ$13:$CO$13),K13*LOOKUP(MATCH($F13,$BZ$11:$CO$11,0),$BZ$10:$CO$10,$BZ$13:$CO$13)))</f>
        <v/>
      </c>
      <c r="AS13" s="1198" t="str">
        <f t="shared" ref="AS13:AS37" si="5">IF(OR($F13="",L13=""),"",IF(L13="x",LOOKUP(MATCH($F13,$BZ$11:$CO$11,0),$BZ$10:$CO$10,$BZ$14:$CO$14),L13*LOOKUP(MATCH($F13,$BZ$11:$CO$11,0),$BZ$10:$CO$10,$BZ$14:$CO$14)))</f>
        <v/>
      </c>
      <c r="AT13" s="1198" t="str">
        <f t="shared" ref="AT13:AT37" si="6">IF(OR($F13="",M13=""),"",IF(M13="x",LOOKUP(MATCH($F13,$BZ$11:$CO$11,0),$BZ$10:$CO$10,$BZ$15:$CO$15),M13*LOOKUP(MATCH($F13,$BZ$11:$CO$11,0),$BZ$10:$CO$10,$BZ$15:$CO$15)))</f>
        <v/>
      </c>
      <c r="AU13" s="1198" t="str">
        <f t="shared" ref="AU13:AU37" si="7">IF(OR($F13="",N13=""),"",IF(N13="x",LOOKUP(MATCH($F13,$BZ$11:$CO$11,0),$BZ$10:$CO$10,$BZ$16:$CO$16),N13*LOOKUP(MATCH($F13,$BZ$11:$CO$11,0),$BZ$10:$CO$10,$BZ$16:$CO$16)))</f>
        <v/>
      </c>
      <c r="AV13" s="1198" t="str">
        <f t="shared" ref="AV13:AV37" si="8">IF(OR($F13="",O13=""),"",IF(O13="x",LOOKUP(MATCH($F13,$BZ$11:$CO$11,0),$BZ$10:$CO$10,$BZ$17:$CO$17),O13*LOOKUP(MATCH($F13,$BZ$11:$CO$11,0),$BZ$10:$CO$10,$BZ$17:$CO$17)))</f>
        <v/>
      </c>
      <c r="AW13" s="1198" t="str">
        <f t="shared" ref="AW13:AW37" si="9">IF(OR($F13="",P13=""),"",IF(P13="x",LOOKUP(MATCH($F13,$BZ$11:$CO$11,0),$BZ$10:$CO$10,$BZ$18:$CO$18),P13*LOOKUP(MATCH($F13,$BZ$11:$CO$11,0),$BZ$10:$CO$10,$BZ$18:$CO$18)))</f>
        <v/>
      </c>
      <c r="AX13" s="1198" t="str">
        <f t="shared" ref="AX13:AX37" si="10">IF(OR($F13="",Q13=""),"",IF(Q13="x",LOOKUP(MATCH($F13,$BZ$11:$CO$11,0),$BZ$10:$CO$10,$BZ$19:$CO$19),Q13*LOOKUP(MATCH($F13,$BZ$11:$CO$11,0),$BZ$10:$CO$10,$BZ$19:$CO$19)))</f>
        <v/>
      </c>
      <c r="AY13" s="1198" t="str">
        <f t="shared" ref="AY13:AY37" si="11">IF(OR($F13="",R13=""),"",IF(R13="x",LOOKUP(MATCH($F13,$BZ$11:$CO$11,0),$BZ$10:$CO$10,$BZ$20:$CO$20),R13*LOOKUP(MATCH($F13,$BZ$11:$CO$11,0),$BZ$10:$CO$10,$BZ$20:$CO$20)))</f>
        <v/>
      </c>
      <c r="AZ13" s="1198" t="str">
        <f t="shared" ref="AZ13:AZ37" si="12">IF(OR($F13="",S13=""),"",IF(S13="x",LOOKUP(MATCH($F13,$BZ$11:$CO$11,0),$BZ$10:$CO$10,$BZ$21:$CO$21),S13*LOOKUP(MATCH($F13,$BZ$11:$CO$11,0),$BZ$10:$CO$10,$BZ$21:$CO$21)))</f>
        <v/>
      </c>
      <c r="BA13" s="1198" t="str">
        <f t="shared" ref="BA13:BA37" si="13">IF(OR($F13="",T13=""),"",IF(T13="x",LOOKUP(MATCH($F13,$BZ$11:$CO$11,0),$BZ$10:$CO$10,$BZ$23:$CO$23),T13*LOOKUP(MATCH($F13,$BZ$11:$CO$11,0),$BZ$10:$CO$10,$BZ$23:$CO$23)))</f>
        <v/>
      </c>
      <c r="BB13" s="1198" t="str">
        <f t="shared" ref="BB13:BB37" si="14">IF(OR($F13="",U13=""),"",IF(U13="x",LOOKUP(MATCH($F13,$BZ$11:$CO$11,0),$BZ$10:$CO$10,$BZ$29:$CO$29),U13*LOOKUP(MATCH($F13,$BZ$11:$CO$11,0),$BZ$10:$CO$10,$BZ$29:$CO$29)))</f>
        <v/>
      </c>
      <c r="BC13" s="1198" t="str">
        <f t="shared" ref="BC13:BC37" si="15">IF(OR($F13="",V13=""),"",IF(V13="x",LOOKUP(MATCH($F13,$BZ$11:$CO$11,0),$BZ$10:$CO$10,$BZ$31:$CO$31),V13*LOOKUP(MATCH($F13,$BZ$11:$CO$11,0),$BZ$10:$CO$10,$BZ$31:$CO$31)))</f>
        <v/>
      </c>
      <c r="BD13" s="1198" t="str">
        <f t="shared" ref="BD13:BD37" si="16">IF(OR($F13="",W13=""),"",IF(W13="x",LOOKUP(MATCH($F13,$BZ$11:$CO$11,0),$BZ$10:$CO$10,$BZ$34:$CO$34),W13*LOOKUP(MATCH($F13,$BZ$11:$CO$11,0),$BZ$10:$CO$10,$BZ$34:$CO$34)))</f>
        <v/>
      </c>
      <c r="BE13" s="1198" t="str">
        <f t="shared" ref="BE13:BE37" si="17">IF(OR($F13="",X13=""),"",IF(X13="x",LOOKUP(MATCH($F13,$BZ$11:$CO$11,0),$BZ$10:$CO$10,$BZ$44:$CO$44),X13*LOOKUP(MATCH($F13,$BZ$11:$CO$11,0),$BZ$10:$CO$10,$BZ$44:$CO$44)))</f>
        <v/>
      </c>
      <c r="BF13" s="1198" t="str">
        <f t="shared" ref="BF13:BF37" si="18">IF(OR($F13="",Y13=""),"",IF(Y13="x",LOOKUP(MATCH($F13,$BZ$11:$CO$11,0),$BZ$10:$CO$10,$BZ$46:$CO$46),Y13*LOOKUP(MATCH($F13,$BZ$11:$CO$11,0),$BZ$10:$CO$10,$BZ$46:$CO$46)))</f>
        <v/>
      </c>
      <c r="BG13" s="1198" t="str">
        <f t="shared" ref="BG13:BG37" si="19">IF(OR($F13="",Z13=""),"",IF(Z13="x",LOOKUP(MATCH($F13,$BZ$11:$CO$11,0),$BZ$10:$CO$10,$BZ$47:$CO$47),Z13*LOOKUP(MATCH($F13,$BZ$11:$CO$11,0),$BZ$10:$CO$10,$BZ$47:$CO$47)))</f>
        <v/>
      </c>
      <c r="BH13" s="1198" t="str">
        <f t="shared" ref="BH13:BH37" si="20">IF(OR($F13="",AA13=""),"",IF(AA13="x",LOOKUP(MATCH($F13,$BZ$11:$CO$11,0),$BZ$10:$CO$10,$BZ$51:$CO$51),AA13*LOOKUP(MATCH($F13,$BZ$11:$CO$11,0),$BZ$10:$CO$10,$BZ$51:$CO$51)))</f>
        <v/>
      </c>
      <c r="BI13" s="1198" t="str">
        <f t="shared" ref="BI13:BI37" si="21">IF(OR($F13="",AB13=""),"",IF(AB13="x",LOOKUP(MATCH($F13,$BZ$11:$CO$11,0),$BZ$10:$CO$10,$BZ$55:$CO$55),AB13*LOOKUP(MATCH($F13,$BZ$11:$CO$11,0),$BZ$10:$CO$10,$BZ$55:$CO$55)))</f>
        <v/>
      </c>
      <c r="BJ13" s="1198" t="str">
        <f t="shared" ref="BJ13:BJ37" si="22">IF(OR($F13="",AC13=""),"",IF(AC13="x",LOOKUP(MATCH($F13,$BZ$11:$CO$11,0),$BZ$10:$CO$10,$BZ$57:$CO$57),AC13*LOOKUP(MATCH($F13,$BZ$11:$CO$11,0),$BZ$10:$CO$10,$BZ$57:$CO$57)))</f>
        <v/>
      </c>
      <c r="BK13" s="1199" t="str">
        <f t="shared" ref="BK13:BK37" si="23">IF(OR($F13="",AD13=""),"",IF(AD13="x",LOOKUP(MATCH($F13,$BZ$11:$CO$11,0),$BZ$10:$CO$10,$BZ$63:$CO$63),AD13*LOOKUP(MATCH($F13,$BZ$11:$CO$11,0),$BZ$10:$CO$10,$BZ$63:$CO$63)))</f>
        <v/>
      </c>
      <c r="BL13" s="1199" t="str">
        <f t="shared" ref="BL13:BL37" si="24">IF(OR($F13="",AE13=""),"",IF(AE13="x",LOOKUP(MATCH($F13,$BZ$11:$CO$11,0),$BZ$10:$CO$10,$BZ$64:$CO$64),AE13*LOOKUP(MATCH($F13,$BZ$11:$CO$11,0),$BZ$10:$CO$10,$BZ$64:$CO$64)))</f>
        <v/>
      </c>
      <c r="BM13" s="1199" t="str">
        <f t="shared" ref="BM13:BM37" si="25">IF(OR($F13="",AF13=""),"",IF(AF13="x",LOOKUP(MATCH($F13,$BZ$11:$CO$11,0),$BZ$10:$CO$10,$BZ$65:$CO$65),AF13*LOOKUP(MATCH($F13,$BZ$11:$CO$11,0),$BZ$10:$CO$10,$BZ$65:$CO$65)))</f>
        <v/>
      </c>
      <c r="BN13" s="1199" t="str">
        <f t="shared" ref="BN13:BN37" si="26">IF(OR($F13="",AG13=""),"",IF(AG13="x",LOOKUP(MATCH($F13,$BZ$11:$CO$11,0),$BZ$10:$CO$10,$BZ$66:$CO$66),AG13*LOOKUP(MATCH($F13,$BZ$11:$CO$11,0),$BZ$10:$CO$10,$BZ$66:$CO$66)))</f>
        <v/>
      </c>
      <c r="BO13" s="1199" t="str">
        <f t="shared" ref="BO13:BO37" si="27">IF(OR($F13="",AH13=""),"",IF(AH13="x",LOOKUP(MATCH($F13,$BZ$11:$CO$11,0),$BZ$10:$CO$10,$BZ$67:$CO$67),AH13*LOOKUP(MATCH($F13,$BZ$11:$CO$11,0),$BZ$10:$CO$10,$BZ$67:$CO$67)))</f>
        <v/>
      </c>
      <c r="BP13" s="1199" t="str">
        <f t="shared" ref="BP13:BP37" si="28">IF(OR($F13="",AI13=""),"",IF(AI13="x",LOOKUP(MATCH($F13,$BZ$11:$CO$11,0),$BZ$10:$CO$10,$BZ$69:$CO$69),AI13*LOOKUP(MATCH($F13,$BZ$11:$CO$11,0),$BZ$10:$CO$10,$BZ$69:$CO$69)))</f>
        <v/>
      </c>
      <c r="BQ13" s="1198" t="str">
        <f t="shared" ref="BQ13:BQ37" si="29">IF(OR($F13="",AJ13=""),"",IF(AJ13="x",LOOKUP(MATCH($F13,$BZ$11:$CO$11,0),$BZ$10:$CO$10,$BZ$72:$CO$72),AJ13*LOOKUP(MATCH($F13,$BZ$11:$CO$11,0),$BZ$10:$CO$10,$BZ$72:$CO$72)))</f>
        <v/>
      </c>
      <c r="BR13" s="1198" t="str">
        <f t="shared" ref="BR13:BR37" si="30">IF(OR($F13="",AK13=""),"",IF(AK13="x",LOOKUP(MATCH($F13,$BZ$11:$CO$11,0),$BZ$10:$CO$10,$BZ$73:$CO$73),AK13*LOOKUP(MATCH($F13,$BZ$11:$CO$11,0),$BZ$10:$CO$10,$BZ$73:$CO$73)))</f>
        <v/>
      </c>
      <c r="BS13" s="1198" t="str">
        <f t="shared" ref="BS13:BS37" si="31">IF(OR($F13="",AL13=""),"",IF(AL13="x",LOOKUP(MATCH($F13,$BZ$11:$CO$11,0),$BZ$10:$CO$10,$BZ$74:$CO$74),AL13*LOOKUP(MATCH($F13,$BZ$11:$CO$11,0),$BZ$10:$CO$10,$BZ$74:$CO$74)))</f>
        <v/>
      </c>
      <c r="BT13" s="1198" t="str">
        <f t="shared" ref="BT13:BT37" si="32">IF(OR($F13="",AM13=""),"",IF(AM13="x",LOOKUP(MATCH($F13,$BZ$11:$CO$11,0),$BZ$10:$CO$10,$BZ$76:$CO$76),AM13*LOOKUP(MATCH($F13,$BZ$11:$CO$11,0),$BZ$10:$CO$10,$BZ$76:$CO$76)))</f>
        <v/>
      </c>
      <c r="BU13" s="1198" t="str">
        <f t="shared" ref="BU13:BU37" si="33">IF(OR($F13="",AN13=""),"",IF(AN13="x",LOOKUP(MATCH($F13,$BZ$11:$CO$11,0),$BZ$10:$CO$10,$BZ$77:$CO$77),AN13*LOOKUP(MATCH($F13,$BZ$11:$CO$11,0),$BZ$10:$CO$10,$BZ$77:$CO$77)))</f>
        <v/>
      </c>
      <c r="BV13" s="3"/>
      <c r="BW13" s="1172">
        <v>1</v>
      </c>
      <c r="BX13" s="1173" t="s">
        <v>159</v>
      </c>
      <c r="BY13" s="1174"/>
      <c r="BZ13" s="1175">
        <v>0</v>
      </c>
      <c r="CA13" s="1176">
        <v>0.18</v>
      </c>
      <c r="CB13" s="1176">
        <v>0.3</v>
      </c>
      <c r="CC13" s="1176">
        <v>0.4</v>
      </c>
      <c r="CD13" s="1176">
        <v>0.5</v>
      </c>
      <c r="CE13" s="1176">
        <v>0.7</v>
      </c>
      <c r="CF13" s="1176">
        <v>0.9</v>
      </c>
      <c r="CG13" s="1176">
        <v>1.1000000000000001</v>
      </c>
      <c r="CH13" s="1176">
        <v>1.3</v>
      </c>
      <c r="CI13" s="1176">
        <v>1.6</v>
      </c>
      <c r="CJ13" s="1176">
        <v>2.1</v>
      </c>
      <c r="CK13" s="1176">
        <v>2.7</v>
      </c>
      <c r="CL13" s="1176">
        <v>3.4</v>
      </c>
      <c r="CM13" s="1175">
        <v>0</v>
      </c>
      <c r="CN13" s="1175">
        <v>0</v>
      </c>
      <c r="CO13" s="1175">
        <v>0</v>
      </c>
    </row>
    <row r="14" spans="1:93" s="769" customFormat="1" ht="15.75" customHeight="1" thickTop="1" thickBot="1" x14ac:dyDescent="0.35">
      <c r="A14" s="1205"/>
      <c r="C14" s="1167" t="str">
        <f>'Cálc. Sist. Extinção Automática'!E26</f>
        <v/>
      </c>
      <c r="D14" s="1168" t="str">
        <f>IF('Cálc. Sist. Extinção Automática'!F26="","",'Cálc. Sist. Extinção Automática'!F26)</f>
        <v/>
      </c>
      <c r="E14" s="1168" t="str">
        <f>IF('Cálc. Sist. Extinção Automática'!G26="","",'Cálc. Sist. Extinção Automática'!G26)</f>
        <v/>
      </c>
      <c r="F14" s="1169" t="str">
        <f>IF('Cálc. Sist. Extinção Automática'!AA26="","",'Cálc. Sist. Extinção Automática'!AA26)</f>
        <v/>
      </c>
      <c r="G14" s="1279" t="str">
        <f>IF(F14="","",IF(ABS(H14)+I14=0,"",ABS(H14)+I14))</f>
        <v/>
      </c>
      <c r="H14" s="1170"/>
      <c r="I14" s="1218" t="str">
        <f t="shared" ref="I14:I37" si="34">IF(F14="","",SUM(AR14:BU14))</f>
        <v/>
      </c>
      <c r="J14" s="1259"/>
      <c r="K14" s="1171"/>
      <c r="L14" s="1171"/>
      <c r="M14" s="1171"/>
      <c r="N14" s="1171"/>
      <c r="O14" s="1171"/>
      <c r="P14" s="1171"/>
      <c r="Q14" s="1171"/>
      <c r="R14" s="1171"/>
      <c r="S14" s="1171"/>
      <c r="T14" s="1171"/>
      <c r="U14" s="1171"/>
      <c r="V14" s="1171"/>
      <c r="W14" s="1171"/>
      <c r="X14" s="1171"/>
      <c r="Y14" s="1171"/>
      <c r="Z14" s="1171"/>
      <c r="AA14" s="1171"/>
      <c r="AB14" s="1171"/>
      <c r="AC14" s="1171"/>
      <c r="AD14" s="1171"/>
      <c r="AE14" s="1171"/>
      <c r="AF14" s="1171"/>
      <c r="AG14" s="1171"/>
      <c r="AH14" s="1171"/>
      <c r="AI14" s="1171"/>
      <c r="AJ14" s="1171"/>
      <c r="AK14" s="1171"/>
      <c r="AL14" s="1171"/>
      <c r="AM14" s="1171"/>
      <c r="AN14" s="1171"/>
      <c r="AO14" s="3"/>
      <c r="AP14" s="1212"/>
      <c r="AQ14" s="3"/>
      <c r="AR14" s="1198" t="str">
        <f t="shared" si="4"/>
        <v/>
      </c>
      <c r="AS14" s="1198" t="str">
        <f t="shared" si="5"/>
        <v/>
      </c>
      <c r="AT14" s="1198" t="str">
        <f t="shared" si="6"/>
        <v/>
      </c>
      <c r="AU14" s="1198" t="str">
        <f t="shared" si="7"/>
        <v/>
      </c>
      <c r="AV14" s="1198" t="str">
        <f t="shared" si="8"/>
        <v/>
      </c>
      <c r="AW14" s="1198" t="str">
        <f t="shared" si="9"/>
        <v/>
      </c>
      <c r="AX14" s="1198" t="str">
        <f t="shared" si="10"/>
        <v/>
      </c>
      <c r="AY14" s="1198" t="str">
        <f t="shared" si="11"/>
        <v/>
      </c>
      <c r="AZ14" s="1198" t="str">
        <f t="shared" si="12"/>
        <v/>
      </c>
      <c r="BA14" s="1198" t="str">
        <f t="shared" si="13"/>
        <v/>
      </c>
      <c r="BB14" s="1198" t="str">
        <f t="shared" si="14"/>
        <v/>
      </c>
      <c r="BC14" s="1198" t="str">
        <f t="shared" si="15"/>
        <v/>
      </c>
      <c r="BD14" s="1198" t="str">
        <f t="shared" si="16"/>
        <v/>
      </c>
      <c r="BE14" s="1198" t="str">
        <f t="shared" si="17"/>
        <v/>
      </c>
      <c r="BF14" s="1198" t="str">
        <f t="shared" si="18"/>
        <v/>
      </c>
      <c r="BG14" s="1198" t="str">
        <f t="shared" si="19"/>
        <v/>
      </c>
      <c r="BH14" s="1198" t="str">
        <f t="shared" si="20"/>
        <v/>
      </c>
      <c r="BI14" s="1198" t="str">
        <f t="shared" si="21"/>
        <v/>
      </c>
      <c r="BJ14" s="1198" t="str">
        <f t="shared" si="22"/>
        <v/>
      </c>
      <c r="BK14" s="1199" t="str">
        <f t="shared" si="23"/>
        <v/>
      </c>
      <c r="BL14" s="1199" t="str">
        <f t="shared" si="24"/>
        <v/>
      </c>
      <c r="BM14" s="1199" t="str">
        <f t="shared" si="25"/>
        <v/>
      </c>
      <c r="BN14" s="1199" t="str">
        <f t="shared" si="26"/>
        <v/>
      </c>
      <c r="BO14" s="1199" t="str">
        <f t="shared" si="27"/>
        <v/>
      </c>
      <c r="BP14" s="1199" t="str">
        <f t="shared" si="28"/>
        <v/>
      </c>
      <c r="BQ14" s="1198" t="str">
        <f t="shared" si="29"/>
        <v/>
      </c>
      <c r="BR14" s="1198" t="str">
        <f t="shared" si="30"/>
        <v/>
      </c>
      <c r="BS14" s="1198" t="str">
        <f t="shared" si="31"/>
        <v/>
      </c>
      <c r="BT14" s="1198" t="str">
        <f t="shared" si="32"/>
        <v/>
      </c>
      <c r="BU14" s="1198" t="str">
        <f t="shared" si="33"/>
        <v/>
      </c>
      <c r="BV14" s="3"/>
      <c r="BW14" s="1172" t="s">
        <v>160</v>
      </c>
      <c r="BX14" s="1173" t="s">
        <v>161</v>
      </c>
      <c r="BY14" s="1173"/>
      <c r="BZ14" s="1176">
        <v>0.16</v>
      </c>
      <c r="CA14" s="1176">
        <v>0.24</v>
      </c>
      <c r="CB14" s="1176">
        <v>0.32</v>
      </c>
      <c r="CC14" s="1176">
        <v>0.48</v>
      </c>
      <c r="CD14" s="1176">
        <v>0.64</v>
      </c>
      <c r="CE14" s="1176">
        <v>0.79</v>
      </c>
      <c r="CF14" s="1176">
        <v>0.95</v>
      </c>
      <c r="CG14" s="1176">
        <v>1.27</v>
      </c>
      <c r="CH14" s="1176">
        <v>1.59</v>
      </c>
      <c r="CI14" s="1176">
        <v>1.91</v>
      </c>
      <c r="CJ14" s="1176">
        <v>2.54</v>
      </c>
      <c r="CK14" s="1175">
        <v>0</v>
      </c>
      <c r="CL14" s="1175">
        <v>0</v>
      </c>
      <c r="CM14" s="1175">
        <v>0</v>
      </c>
      <c r="CN14" s="1175">
        <v>0</v>
      </c>
      <c r="CO14" s="1175">
        <v>0</v>
      </c>
    </row>
    <row r="15" spans="1:93" s="769" customFormat="1" ht="15.75" customHeight="1" thickTop="1" thickBot="1" x14ac:dyDescent="0.35">
      <c r="A15" s="1205"/>
      <c r="C15" s="1167" t="str">
        <f>'Cálc. Sist. Extinção Automática'!E27</f>
        <v/>
      </c>
      <c r="D15" s="1168" t="str">
        <f>IF('Cálc. Sist. Extinção Automática'!F27="","",'Cálc. Sist. Extinção Automática'!F27)</f>
        <v/>
      </c>
      <c r="E15" s="1168" t="str">
        <f>IF('Cálc. Sist. Extinção Automática'!G27="","",'Cálc. Sist. Extinção Automática'!G27)</f>
        <v/>
      </c>
      <c r="F15" s="1169" t="str">
        <f>IF('Cálc. Sist. Extinção Automática'!AA27="","",'Cálc. Sist. Extinção Automática'!AA27)</f>
        <v/>
      </c>
      <c r="G15" s="1279" t="str">
        <f t="shared" ref="G15:G37" si="35">IF(F15="","",IF(ABS(H15)+I15=0,"",ABS(H15)+I15))</f>
        <v/>
      </c>
      <c r="H15" s="1170"/>
      <c r="I15" s="1218" t="str">
        <f t="shared" si="34"/>
        <v/>
      </c>
      <c r="J15" s="1259"/>
      <c r="K15" s="1171"/>
      <c r="L15" s="1171"/>
      <c r="M15" s="1171"/>
      <c r="N15" s="1171"/>
      <c r="O15" s="1171"/>
      <c r="P15" s="1171"/>
      <c r="Q15" s="1171"/>
      <c r="R15" s="1171"/>
      <c r="S15" s="1171"/>
      <c r="T15" s="1171"/>
      <c r="U15" s="1171"/>
      <c r="V15" s="1171"/>
      <c r="W15" s="1171"/>
      <c r="X15" s="1171"/>
      <c r="Y15" s="1171"/>
      <c r="Z15" s="1171"/>
      <c r="AA15" s="1171"/>
      <c r="AB15" s="1171"/>
      <c r="AC15" s="1171"/>
      <c r="AD15" s="1171"/>
      <c r="AE15" s="1171"/>
      <c r="AF15" s="1171"/>
      <c r="AG15" s="1171"/>
      <c r="AH15" s="1171"/>
      <c r="AI15" s="1171"/>
      <c r="AJ15" s="1171"/>
      <c r="AK15" s="1171"/>
      <c r="AL15" s="1171"/>
      <c r="AM15" s="1171"/>
      <c r="AN15" s="1171"/>
      <c r="AO15" s="3"/>
      <c r="AP15" s="1212"/>
      <c r="AQ15" s="3"/>
      <c r="AR15" s="1198" t="str">
        <f t="shared" si="4"/>
        <v/>
      </c>
      <c r="AS15" s="1198" t="str">
        <f t="shared" si="5"/>
        <v/>
      </c>
      <c r="AT15" s="1198" t="str">
        <f t="shared" si="6"/>
        <v/>
      </c>
      <c r="AU15" s="1198" t="str">
        <f t="shared" si="7"/>
        <v/>
      </c>
      <c r="AV15" s="1198" t="str">
        <f t="shared" si="8"/>
        <v/>
      </c>
      <c r="AW15" s="1198" t="str">
        <f t="shared" si="9"/>
        <v/>
      </c>
      <c r="AX15" s="1198" t="str">
        <f t="shared" si="10"/>
        <v/>
      </c>
      <c r="AY15" s="1198" t="str">
        <f t="shared" si="11"/>
        <v/>
      </c>
      <c r="AZ15" s="1198" t="str">
        <f t="shared" si="12"/>
        <v/>
      </c>
      <c r="BA15" s="1198" t="str">
        <f t="shared" si="13"/>
        <v/>
      </c>
      <c r="BB15" s="1198" t="str">
        <f t="shared" si="14"/>
        <v/>
      </c>
      <c r="BC15" s="1198" t="str">
        <f t="shared" si="15"/>
        <v/>
      </c>
      <c r="BD15" s="1198" t="str">
        <f t="shared" si="16"/>
        <v/>
      </c>
      <c r="BE15" s="1198" t="str">
        <f t="shared" si="17"/>
        <v/>
      </c>
      <c r="BF15" s="1198" t="str">
        <f t="shared" si="18"/>
        <v/>
      </c>
      <c r="BG15" s="1198" t="str">
        <f t="shared" si="19"/>
        <v/>
      </c>
      <c r="BH15" s="1198" t="str">
        <f t="shared" si="20"/>
        <v/>
      </c>
      <c r="BI15" s="1198" t="str">
        <f t="shared" si="21"/>
        <v/>
      </c>
      <c r="BJ15" s="1198" t="str">
        <f t="shared" si="22"/>
        <v/>
      </c>
      <c r="BK15" s="1199" t="str">
        <f t="shared" si="23"/>
        <v/>
      </c>
      <c r="BL15" s="1199" t="str">
        <f t="shared" si="24"/>
        <v/>
      </c>
      <c r="BM15" s="1199" t="str">
        <f t="shared" si="25"/>
        <v/>
      </c>
      <c r="BN15" s="1199" t="str">
        <f t="shared" si="26"/>
        <v/>
      </c>
      <c r="BO15" s="1199" t="str">
        <f t="shared" si="27"/>
        <v/>
      </c>
      <c r="BP15" s="1199" t="str">
        <f t="shared" si="28"/>
        <v/>
      </c>
      <c r="BQ15" s="1198" t="str">
        <f t="shared" si="29"/>
        <v/>
      </c>
      <c r="BR15" s="1198" t="str">
        <f t="shared" si="30"/>
        <v/>
      </c>
      <c r="BS15" s="1198" t="str">
        <f t="shared" si="31"/>
        <v/>
      </c>
      <c r="BT15" s="1198" t="str">
        <f t="shared" si="32"/>
        <v/>
      </c>
      <c r="BU15" s="1198" t="str">
        <f t="shared" si="33"/>
        <v/>
      </c>
      <c r="BV15" s="3"/>
      <c r="BW15" s="1172">
        <v>2</v>
      </c>
      <c r="BX15" s="1173" t="s">
        <v>162</v>
      </c>
      <c r="BY15" s="1173"/>
      <c r="BZ15" s="1175">
        <v>0</v>
      </c>
      <c r="CA15" s="1176">
        <v>0.18</v>
      </c>
      <c r="CB15" s="1176">
        <v>0.3</v>
      </c>
      <c r="CC15" s="1176">
        <v>0.4</v>
      </c>
      <c r="CD15" s="1176">
        <v>0.5</v>
      </c>
      <c r="CE15" s="1176">
        <v>0.7</v>
      </c>
      <c r="CF15" s="1176">
        <v>0.9</v>
      </c>
      <c r="CG15" s="1176">
        <v>1.1000000000000001</v>
      </c>
      <c r="CH15" s="1176">
        <v>1.3</v>
      </c>
      <c r="CI15" s="1176">
        <v>1.6</v>
      </c>
      <c r="CJ15" s="1176">
        <v>2.1</v>
      </c>
      <c r="CK15" s="1176">
        <v>2.7</v>
      </c>
      <c r="CL15" s="1176">
        <v>3.4</v>
      </c>
      <c r="CM15" s="1175">
        <v>0</v>
      </c>
      <c r="CN15" s="1175">
        <v>0</v>
      </c>
      <c r="CO15" s="1175">
        <v>0</v>
      </c>
    </row>
    <row r="16" spans="1:93" s="769" customFormat="1" ht="15.75" customHeight="1" thickTop="1" thickBot="1" x14ac:dyDescent="0.35">
      <c r="A16" s="1205"/>
      <c r="C16" s="1167" t="str">
        <f>'Cálc. Sist. Extinção Automática'!E28</f>
        <v/>
      </c>
      <c r="D16" s="1168" t="str">
        <f>IF('Cálc. Sist. Extinção Automática'!F28="","",'Cálc. Sist. Extinção Automática'!F28)</f>
        <v/>
      </c>
      <c r="E16" s="1168" t="str">
        <f>IF('Cálc. Sist. Extinção Automática'!G28="","",'Cálc. Sist. Extinção Automática'!G28)</f>
        <v/>
      </c>
      <c r="F16" s="1169" t="str">
        <f>IF('Cálc. Sist. Extinção Automática'!AA28="","",'Cálc. Sist. Extinção Automática'!AA28)</f>
        <v/>
      </c>
      <c r="G16" s="1279" t="str">
        <f t="shared" si="35"/>
        <v/>
      </c>
      <c r="H16" s="1170"/>
      <c r="I16" s="1218" t="str">
        <f t="shared" si="34"/>
        <v/>
      </c>
      <c r="J16" s="1259"/>
      <c r="K16" s="1171"/>
      <c r="L16" s="1171"/>
      <c r="M16" s="1171"/>
      <c r="N16" s="1171"/>
      <c r="O16" s="1171"/>
      <c r="P16" s="1171"/>
      <c r="Q16" s="1171"/>
      <c r="R16" s="1171"/>
      <c r="S16" s="1171"/>
      <c r="T16" s="1171"/>
      <c r="U16" s="1171"/>
      <c r="V16" s="1171"/>
      <c r="W16" s="1171"/>
      <c r="X16" s="1171"/>
      <c r="Y16" s="1171"/>
      <c r="Z16" s="1171"/>
      <c r="AA16" s="1171"/>
      <c r="AB16" s="1171"/>
      <c r="AC16" s="1171"/>
      <c r="AD16" s="1171"/>
      <c r="AE16" s="1171"/>
      <c r="AF16" s="1171"/>
      <c r="AG16" s="1171"/>
      <c r="AH16" s="1171"/>
      <c r="AI16" s="1171"/>
      <c r="AJ16" s="1171"/>
      <c r="AK16" s="1171"/>
      <c r="AL16" s="1171"/>
      <c r="AM16" s="1171"/>
      <c r="AN16" s="1171"/>
      <c r="AO16" s="3"/>
      <c r="AP16" s="1212"/>
      <c r="AQ16" s="3"/>
      <c r="AR16" s="1198" t="str">
        <f t="shared" si="4"/>
        <v/>
      </c>
      <c r="AS16" s="1198" t="str">
        <f t="shared" si="5"/>
        <v/>
      </c>
      <c r="AT16" s="1198" t="str">
        <f t="shared" si="6"/>
        <v/>
      </c>
      <c r="AU16" s="1198" t="str">
        <f t="shared" si="7"/>
        <v/>
      </c>
      <c r="AV16" s="1198" t="str">
        <f t="shared" si="8"/>
        <v/>
      </c>
      <c r="AW16" s="1198" t="str">
        <f t="shared" si="9"/>
        <v/>
      </c>
      <c r="AX16" s="1198" t="str">
        <f t="shared" si="10"/>
        <v/>
      </c>
      <c r="AY16" s="1198" t="str">
        <f t="shared" si="11"/>
        <v/>
      </c>
      <c r="AZ16" s="1198" t="str">
        <f t="shared" si="12"/>
        <v/>
      </c>
      <c r="BA16" s="1198" t="str">
        <f t="shared" si="13"/>
        <v/>
      </c>
      <c r="BB16" s="1198" t="str">
        <f t="shared" si="14"/>
        <v/>
      </c>
      <c r="BC16" s="1198" t="str">
        <f t="shared" si="15"/>
        <v/>
      </c>
      <c r="BD16" s="1198" t="str">
        <f t="shared" si="16"/>
        <v/>
      </c>
      <c r="BE16" s="1198" t="str">
        <f t="shared" si="17"/>
        <v/>
      </c>
      <c r="BF16" s="1198" t="str">
        <f t="shared" si="18"/>
        <v/>
      </c>
      <c r="BG16" s="1198" t="str">
        <f t="shared" si="19"/>
        <v/>
      </c>
      <c r="BH16" s="1198" t="str">
        <f t="shared" si="20"/>
        <v/>
      </c>
      <c r="BI16" s="1198" t="str">
        <f t="shared" si="21"/>
        <v/>
      </c>
      <c r="BJ16" s="1198" t="str">
        <f t="shared" si="22"/>
        <v/>
      </c>
      <c r="BK16" s="1199" t="str">
        <f t="shared" si="23"/>
        <v/>
      </c>
      <c r="BL16" s="1199" t="str">
        <f t="shared" si="24"/>
        <v/>
      </c>
      <c r="BM16" s="1199" t="str">
        <f t="shared" si="25"/>
        <v/>
      </c>
      <c r="BN16" s="1199" t="str">
        <f t="shared" si="26"/>
        <v/>
      </c>
      <c r="BO16" s="1199" t="str">
        <f t="shared" si="27"/>
        <v/>
      </c>
      <c r="BP16" s="1199" t="str">
        <f t="shared" si="28"/>
        <v/>
      </c>
      <c r="BQ16" s="1198" t="str">
        <f t="shared" si="29"/>
        <v/>
      </c>
      <c r="BR16" s="1198" t="str">
        <f t="shared" si="30"/>
        <v/>
      </c>
      <c r="BS16" s="1198" t="str">
        <f t="shared" si="31"/>
        <v/>
      </c>
      <c r="BT16" s="1198" t="str">
        <f t="shared" si="32"/>
        <v/>
      </c>
      <c r="BU16" s="1198" t="str">
        <f t="shared" si="33"/>
        <v/>
      </c>
      <c r="BV16" s="3"/>
      <c r="BW16" s="1172" t="s">
        <v>163</v>
      </c>
      <c r="BX16" s="1173" t="s">
        <v>164</v>
      </c>
      <c r="BY16" s="1173"/>
      <c r="BZ16" s="1175">
        <v>0</v>
      </c>
      <c r="CA16" s="1176"/>
      <c r="CB16" s="1176">
        <v>0.4</v>
      </c>
      <c r="CC16" s="1176">
        <v>0.6</v>
      </c>
      <c r="CD16" s="1176">
        <v>0.7</v>
      </c>
      <c r="CE16" s="1176">
        <v>0.9</v>
      </c>
      <c r="CF16" s="1176">
        <v>1.1000000000000001</v>
      </c>
      <c r="CG16" s="1176">
        <v>1.4</v>
      </c>
      <c r="CH16" s="1176">
        <v>1.7</v>
      </c>
      <c r="CI16" s="1176">
        <v>2.1</v>
      </c>
      <c r="CJ16" s="1176">
        <v>2.8</v>
      </c>
      <c r="CK16" s="1176">
        <v>3.7</v>
      </c>
      <c r="CL16" s="1176">
        <v>4.3</v>
      </c>
      <c r="CM16" s="1175">
        <v>0</v>
      </c>
      <c r="CN16" s="1175">
        <v>0</v>
      </c>
      <c r="CO16" s="1175">
        <v>0</v>
      </c>
    </row>
    <row r="17" spans="1:93" s="769" customFormat="1" ht="15.75" customHeight="1" thickTop="1" thickBot="1" x14ac:dyDescent="0.35">
      <c r="A17" s="1205"/>
      <c r="C17" s="1167" t="str">
        <f>'Cálc. Sist. Extinção Automática'!E29</f>
        <v/>
      </c>
      <c r="D17" s="1168" t="str">
        <f>IF('Cálc. Sist. Extinção Automática'!F29="","",'Cálc. Sist. Extinção Automática'!F29)</f>
        <v/>
      </c>
      <c r="E17" s="1168" t="str">
        <f>IF('Cálc. Sist. Extinção Automática'!G29="","",'Cálc. Sist. Extinção Automática'!G29)</f>
        <v/>
      </c>
      <c r="F17" s="1169" t="str">
        <f>IF('Cálc. Sist. Extinção Automática'!AA29="","",'Cálc. Sist. Extinção Automática'!AA29)</f>
        <v/>
      </c>
      <c r="G17" s="1279" t="str">
        <f t="shared" si="35"/>
        <v/>
      </c>
      <c r="H17" s="1170"/>
      <c r="I17" s="1218" t="str">
        <f t="shared" si="34"/>
        <v/>
      </c>
      <c r="J17" s="1259"/>
      <c r="K17" s="1171"/>
      <c r="L17" s="1171"/>
      <c r="M17" s="1171"/>
      <c r="N17" s="1171"/>
      <c r="O17" s="1171"/>
      <c r="P17" s="1171"/>
      <c r="Q17" s="1171"/>
      <c r="R17" s="1171"/>
      <c r="S17" s="1171"/>
      <c r="T17" s="1171"/>
      <c r="U17" s="1171"/>
      <c r="V17" s="1171"/>
      <c r="W17" s="1171"/>
      <c r="X17" s="1171"/>
      <c r="Y17" s="1171"/>
      <c r="Z17" s="1171"/>
      <c r="AA17" s="1171"/>
      <c r="AB17" s="1171"/>
      <c r="AC17" s="1171"/>
      <c r="AD17" s="1171"/>
      <c r="AE17" s="1171"/>
      <c r="AF17" s="1171"/>
      <c r="AG17" s="1171"/>
      <c r="AH17" s="1171"/>
      <c r="AI17" s="1171"/>
      <c r="AJ17" s="1171"/>
      <c r="AK17" s="1171"/>
      <c r="AL17" s="1171"/>
      <c r="AM17" s="1171"/>
      <c r="AN17" s="1171"/>
      <c r="AO17" s="3"/>
      <c r="AP17" s="1212"/>
      <c r="AQ17" s="3"/>
      <c r="AR17" s="1198" t="str">
        <f t="shared" si="4"/>
        <v/>
      </c>
      <c r="AS17" s="1198" t="str">
        <f t="shared" si="5"/>
        <v/>
      </c>
      <c r="AT17" s="1198" t="str">
        <f t="shared" si="6"/>
        <v/>
      </c>
      <c r="AU17" s="1198" t="str">
        <f t="shared" si="7"/>
        <v/>
      </c>
      <c r="AV17" s="1198" t="str">
        <f t="shared" si="8"/>
        <v/>
      </c>
      <c r="AW17" s="1198" t="str">
        <f t="shared" si="9"/>
        <v/>
      </c>
      <c r="AX17" s="1198" t="str">
        <f t="shared" si="10"/>
        <v/>
      </c>
      <c r="AY17" s="1198" t="str">
        <f t="shared" si="11"/>
        <v/>
      </c>
      <c r="AZ17" s="1198" t="str">
        <f t="shared" si="12"/>
        <v/>
      </c>
      <c r="BA17" s="1198" t="str">
        <f t="shared" si="13"/>
        <v/>
      </c>
      <c r="BB17" s="1198" t="str">
        <f t="shared" si="14"/>
        <v/>
      </c>
      <c r="BC17" s="1198" t="str">
        <f t="shared" si="15"/>
        <v/>
      </c>
      <c r="BD17" s="1198" t="str">
        <f t="shared" si="16"/>
        <v/>
      </c>
      <c r="BE17" s="1198" t="str">
        <f t="shared" si="17"/>
        <v/>
      </c>
      <c r="BF17" s="1198" t="str">
        <f t="shared" si="18"/>
        <v/>
      </c>
      <c r="BG17" s="1198" t="str">
        <f t="shared" si="19"/>
        <v/>
      </c>
      <c r="BH17" s="1198" t="str">
        <f t="shared" si="20"/>
        <v/>
      </c>
      <c r="BI17" s="1198" t="str">
        <f t="shared" si="21"/>
        <v/>
      </c>
      <c r="BJ17" s="1198" t="str">
        <f t="shared" si="22"/>
        <v/>
      </c>
      <c r="BK17" s="1199" t="str">
        <f t="shared" si="23"/>
        <v/>
      </c>
      <c r="BL17" s="1199" t="str">
        <f t="shared" si="24"/>
        <v/>
      </c>
      <c r="BM17" s="1199" t="str">
        <f t="shared" si="25"/>
        <v/>
      </c>
      <c r="BN17" s="1199" t="str">
        <f t="shared" si="26"/>
        <v/>
      </c>
      <c r="BO17" s="1199" t="str">
        <f t="shared" si="27"/>
        <v/>
      </c>
      <c r="BP17" s="1199" t="str">
        <f t="shared" si="28"/>
        <v/>
      </c>
      <c r="BQ17" s="1198" t="str">
        <f t="shared" si="29"/>
        <v/>
      </c>
      <c r="BR17" s="1198" t="str">
        <f t="shared" si="30"/>
        <v/>
      </c>
      <c r="BS17" s="1198" t="str">
        <f t="shared" si="31"/>
        <v/>
      </c>
      <c r="BT17" s="1198" t="str">
        <f t="shared" si="32"/>
        <v/>
      </c>
      <c r="BU17" s="1198" t="str">
        <f t="shared" si="33"/>
        <v/>
      </c>
      <c r="BV17" s="3"/>
      <c r="BW17" s="1172">
        <v>3</v>
      </c>
      <c r="BX17" s="1173" t="s">
        <v>165</v>
      </c>
      <c r="BY17" s="1173"/>
      <c r="BZ17" s="1175">
        <v>0</v>
      </c>
      <c r="CA17" s="1176">
        <v>0.25</v>
      </c>
      <c r="CB17" s="1176">
        <v>0.34</v>
      </c>
      <c r="CC17" s="1176">
        <v>0.5</v>
      </c>
      <c r="CD17" s="1176">
        <v>0.67</v>
      </c>
      <c r="CE17" s="1176">
        <v>0.84</v>
      </c>
      <c r="CF17" s="1176">
        <v>1.01</v>
      </c>
      <c r="CG17" s="1176">
        <v>1.35</v>
      </c>
      <c r="CH17" s="1176">
        <v>1.68</v>
      </c>
      <c r="CI17" s="1176">
        <v>2.02</v>
      </c>
      <c r="CJ17" s="1176">
        <v>2.69</v>
      </c>
      <c r="CK17" s="1175">
        <v>0</v>
      </c>
      <c r="CL17" s="1176">
        <v>4.04</v>
      </c>
      <c r="CM17" s="1175">
        <v>0</v>
      </c>
      <c r="CN17" s="1175">
        <v>0</v>
      </c>
      <c r="CO17" s="1175">
        <v>0</v>
      </c>
    </row>
    <row r="18" spans="1:93" s="769" customFormat="1" ht="15.75" customHeight="1" thickTop="1" thickBot="1" x14ac:dyDescent="0.35">
      <c r="A18" s="1205"/>
      <c r="C18" s="1167" t="str">
        <f>'Cálc. Sist. Extinção Automática'!E30</f>
        <v/>
      </c>
      <c r="D18" s="1168" t="str">
        <f>IF('Cálc. Sist. Extinção Automática'!F30="","",'Cálc. Sist. Extinção Automática'!F30)</f>
        <v/>
      </c>
      <c r="E18" s="1168" t="str">
        <f>IF('Cálc. Sist. Extinção Automática'!G30="","",'Cálc. Sist. Extinção Automática'!G30)</f>
        <v/>
      </c>
      <c r="F18" s="1169" t="str">
        <f>IF('Cálc. Sist. Extinção Automática'!AA30="","",'Cálc. Sist. Extinção Automática'!AA30)</f>
        <v/>
      </c>
      <c r="G18" s="1279" t="str">
        <f t="shared" si="35"/>
        <v/>
      </c>
      <c r="H18" s="1170"/>
      <c r="I18" s="1218" t="str">
        <f t="shared" si="34"/>
        <v/>
      </c>
      <c r="J18" s="1259"/>
      <c r="K18" s="1171"/>
      <c r="L18" s="1171"/>
      <c r="M18" s="1171"/>
      <c r="N18" s="1171"/>
      <c r="O18" s="1171"/>
      <c r="P18" s="1171"/>
      <c r="Q18" s="1171"/>
      <c r="R18" s="1171"/>
      <c r="S18" s="1171"/>
      <c r="T18" s="1171"/>
      <c r="U18" s="1171"/>
      <c r="V18" s="1171"/>
      <c r="W18" s="1171"/>
      <c r="X18" s="1171"/>
      <c r="Y18" s="1171"/>
      <c r="Z18" s="1171"/>
      <c r="AA18" s="1171"/>
      <c r="AB18" s="1171"/>
      <c r="AC18" s="1171"/>
      <c r="AD18" s="1171"/>
      <c r="AE18" s="1171"/>
      <c r="AF18" s="1171"/>
      <c r="AG18" s="1171"/>
      <c r="AH18" s="1171"/>
      <c r="AI18" s="1171"/>
      <c r="AJ18" s="1171"/>
      <c r="AK18" s="1171"/>
      <c r="AL18" s="1171"/>
      <c r="AM18" s="1171"/>
      <c r="AN18" s="1171"/>
      <c r="AO18" s="3"/>
      <c r="AP18" s="1212"/>
      <c r="AQ18" s="3"/>
      <c r="AR18" s="1198" t="str">
        <f t="shared" si="4"/>
        <v/>
      </c>
      <c r="AS18" s="1198" t="str">
        <f t="shared" si="5"/>
        <v/>
      </c>
      <c r="AT18" s="1198" t="str">
        <f t="shared" si="6"/>
        <v/>
      </c>
      <c r="AU18" s="1198" t="str">
        <f t="shared" si="7"/>
        <v/>
      </c>
      <c r="AV18" s="1198" t="str">
        <f t="shared" si="8"/>
        <v/>
      </c>
      <c r="AW18" s="1198" t="str">
        <f t="shared" si="9"/>
        <v/>
      </c>
      <c r="AX18" s="1198" t="str">
        <f t="shared" si="10"/>
        <v/>
      </c>
      <c r="AY18" s="1198" t="str">
        <f t="shared" si="11"/>
        <v/>
      </c>
      <c r="AZ18" s="1198" t="str">
        <f t="shared" si="12"/>
        <v/>
      </c>
      <c r="BA18" s="1198" t="str">
        <f t="shared" si="13"/>
        <v/>
      </c>
      <c r="BB18" s="1198" t="str">
        <f t="shared" si="14"/>
        <v/>
      </c>
      <c r="BC18" s="1198" t="str">
        <f t="shared" si="15"/>
        <v/>
      </c>
      <c r="BD18" s="1198" t="str">
        <f t="shared" si="16"/>
        <v/>
      </c>
      <c r="BE18" s="1198" t="str">
        <f t="shared" si="17"/>
        <v/>
      </c>
      <c r="BF18" s="1198" t="str">
        <f t="shared" si="18"/>
        <v/>
      </c>
      <c r="BG18" s="1198" t="str">
        <f t="shared" si="19"/>
        <v/>
      </c>
      <c r="BH18" s="1198" t="str">
        <f t="shared" si="20"/>
        <v/>
      </c>
      <c r="BI18" s="1198" t="str">
        <f t="shared" si="21"/>
        <v/>
      </c>
      <c r="BJ18" s="1198" t="str">
        <f t="shared" si="22"/>
        <v/>
      </c>
      <c r="BK18" s="1199" t="str">
        <f t="shared" si="23"/>
        <v/>
      </c>
      <c r="BL18" s="1199" t="str">
        <f t="shared" si="24"/>
        <v/>
      </c>
      <c r="BM18" s="1199" t="str">
        <f t="shared" si="25"/>
        <v/>
      </c>
      <c r="BN18" s="1199" t="str">
        <f t="shared" si="26"/>
        <v/>
      </c>
      <c r="BO18" s="1199" t="str">
        <f t="shared" si="27"/>
        <v/>
      </c>
      <c r="BP18" s="1199" t="str">
        <f t="shared" si="28"/>
        <v/>
      </c>
      <c r="BQ18" s="1198" t="str">
        <f t="shared" si="29"/>
        <v/>
      </c>
      <c r="BR18" s="1198" t="str">
        <f t="shared" si="30"/>
        <v/>
      </c>
      <c r="BS18" s="1198" t="str">
        <f t="shared" si="31"/>
        <v/>
      </c>
      <c r="BT18" s="1198" t="str">
        <f t="shared" si="32"/>
        <v/>
      </c>
      <c r="BU18" s="1198" t="str">
        <f t="shared" si="33"/>
        <v/>
      </c>
      <c r="BV18" s="3"/>
      <c r="BW18" s="1172">
        <v>40</v>
      </c>
      <c r="BX18" s="1173" t="s">
        <v>166</v>
      </c>
      <c r="BY18" s="1173"/>
      <c r="BZ18" s="1176">
        <v>0.1</v>
      </c>
      <c r="CA18" s="1176">
        <v>0.15</v>
      </c>
      <c r="CB18" s="1176">
        <v>0.2</v>
      </c>
      <c r="CC18" s="1176">
        <v>0.3</v>
      </c>
      <c r="CD18" s="1176">
        <v>0.41</v>
      </c>
      <c r="CE18" s="1176">
        <v>0.51</v>
      </c>
      <c r="CF18" s="1176">
        <v>0.61</v>
      </c>
      <c r="CG18" s="1176">
        <v>0.81</v>
      </c>
      <c r="CH18" s="1176">
        <v>1.02</v>
      </c>
      <c r="CI18" s="1176">
        <v>1.22</v>
      </c>
      <c r="CJ18" s="1176">
        <v>1.73</v>
      </c>
      <c r="CK18" s="1176">
        <v>2.16</v>
      </c>
      <c r="CL18" s="1176">
        <v>2.59</v>
      </c>
      <c r="CM18" s="1175">
        <v>0</v>
      </c>
      <c r="CN18" s="1175">
        <v>0</v>
      </c>
      <c r="CO18" s="1175">
        <v>0</v>
      </c>
    </row>
    <row r="19" spans="1:93" s="769" customFormat="1" ht="15.75" customHeight="1" thickTop="1" thickBot="1" x14ac:dyDescent="0.35">
      <c r="A19" s="1205"/>
      <c r="C19" s="1167" t="str">
        <f>'Cálc. Sist. Extinção Automática'!E31</f>
        <v/>
      </c>
      <c r="D19" s="1168" t="str">
        <f>IF('Cálc. Sist. Extinção Automática'!F31="","",'Cálc. Sist. Extinção Automática'!F31)</f>
        <v/>
      </c>
      <c r="E19" s="1168" t="str">
        <f>IF('Cálc. Sist. Extinção Automática'!G31="","",'Cálc. Sist. Extinção Automática'!G31)</f>
        <v/>
      </c>
      <c r="F19" s="1169" t="str">
        <f>IF('Cálc. Sist. Extinção Automática'!AA31="","",'Cálc. Sist. Extinção Automática'!AA31)</f>
        <v/>
      </c>
      <c r="G19" s="1279" t="str">
        <f t="shared" si="35"/>
        <v/>
      </c>
      <c r="H19" s="1170"/>
      <c r="I19" s="1218" t="str">
        <f t="shared" si="34"/>
        <v/>
      </c>
      <c r="J19" s="1259"/>
      <c r="K19" s="1171"/>
      <c r="L19" s="1171"/>
      <c r="M19" s="1171"/>
      <c r="N19" s="1171"/>
      <c r="O19" s="1171"/>
      <c r="P19" s="1171"/>
      <c r="Q19" s="1171"/>
      <c r="R19" s="1171"/>
      <c r="S19" s="1171"/>
      <c r="T19" s="1171"/>
      <c r="U19" s="1171"/>
      <c r="V19" s="1171"/>
      <c r="W19" s="1171"/>
      <c r="X19" s="1171"/>
      <c r="Y19" s="1171"/>
      <c r="Z19" s="1171"/>
      <c r="AA19" s="1171"/>
      <c r="AB19" s="1171"/>
      <c r="AC19" s="1171"/>
      <c r="AD19" s="1171"/>
      <c r="AE19" s="1171"/>
      <c r="AF19" s="1171"/>
      <c r="AG19" s="1171"/>
      <c r="AH19" s="1171"/>
      <c r="AI19" s="1171"/>
      <c r="AJ19" s="1171"/>
      <c r="AK19" s="1171"/>
      <c r="AL19" s="1171"/>
      <c r="AM19" s="1171"/>
      <c r="AN19" s="1171"/>
      <c r="AO19" s="3"/>
      <c r="AP19" s="1212"/>
      <c r="AQ19" s="3"/>
      <c r="AR19" s="1198" t="str">
        <f t="shared" si="4"/>
        <v/>
      </c>
      <c r="AS19" s="1198" t="str">
        <f t="shared" si="5"/>
        <v/>
      </c>
      <c r="AT19" s="1198" t="str">
        <f t="shared" si="6"/>
        <v/>
      </c>
      <c r="AU19" s="1198" t="str">
        <f t="shared" si="7"/>
        <v/>
      </c>
      <c r="AV19" s="1198" t="str">
        <f t="shared" si="8"/>
        <v/>
      </c>
      <c r="AW19" s="1198" t="str">
        <f t="shared" si="9"/>
        <v/>
      </c>
      <c r="AX19" s="1198" t="str">
        <f t="shared" si="10"/>
        <v/>
      </c>
      <c r="AY19" s="1198" t="str">
        <f t="shared" si="11"/>
        <v/>
      </c>
      <c r="AZ19" s="1198" t="str">
        <f t="shared" si="12"/>
        <v/>
      </c>
      <c r="BA19" s="1198" t="str">
        <f t="shared" si="13"/>
        <v/>
      </c>
      <c r="BB19" s="1198" t="str">
        <f t="shared" si="14"/>
        <v/>
      </c>
      <c r="BC19" s="1198" t="str">
        <f t="shared" si="15"/>
        <v/>
      </c>
      <c r="BD19" s="1198" t="str">
        <f t="shared" si="16"/>
        <v/>
      </c>
      <c r="BE19" s="1198" t="str">
        <f t="shared" si="17"/>
        <v/>
      </c>
      <c r="BF19" s="1198" t="str">
        <f t="shared" si="18"/>
        <v/>
      </c>
      <c r="BG19" s="1198" t="str">
        <f t="shared" si="19"/>
        <v/>
      </c>
      <c r="BH19" s="1198" t="str">
        <f t="shared" si="20"/>
        <v/>
      </c>
      <c r="BI19" s="1198" t="str">
        <f t="shared" si="21"/>
        <v/>
      </c>
      <c r="BJ19" s="1198" t="str">
        <f t="shared" si="22"/>
        <v/>
      </c>
      <c r="BK19" s="1199" t="str">
        <f t="shared" si="23"/>
        <v/>
      </c>
      <c r="BL19" s="1199" t="str">
        <f t="shared" si="24"/>
        <v/>
      </c>
      <c r="BM19" s="1199" t="str">
        <f t="shared" si="25"/>
        <v/>
      </c>
      <c r="BN19" s="1199" t="str">
        <f t="shared" si="26"/>
        <v/>
      </c>
      <c r="BO19" s="1199" t="str">
        <f t="shared" si="27"/>
        <v/>
      </c>
      <c r="BP19" s="1199" t="str">
        <f t="shared" si="28"/>
        <v/>
      </c>
      <c r="BQ19" s="1198" t="str">
        <f t="shared" si="29"/>
        <v/>
      </c>
      <c r="BR19" s="1198" t="str">
        <f t="shared" si="30"/>
        <v/>
      </c>
      <c r="BS19" s="1198" t="str">
        <f t="shared" si="31"/>
        <v/>
      </c>
      <c r="BT19" s="1198" t="str">
        <f t="shared" si="32"/>
        <v/>
      </c>
      <c r="BU19" s="1198" t="str">
        <f t="shared" si="33"/>
        <v/>
      </c>
      <c r="BV19" s="3"/>
      <c r="BW19" s="1172">
        <v>41</v>
      </c>
      <c r="BX19" s="1173" t="s">
        <v>167</v>
      </c>
      <c r="BY19" s="1173"/>
      <c r="BZ19" s="1176">
        <v>0.1</v>
      </c>
      <c r="CA19" s="1176">
        <v>0.16</v>
      </c>
      <c r="CB19" s="1176">
        <v>0.22</v>
      </c>
      <c r="CC19" s="1176">
        <v>0.32</v>
      </c>
      <c r="CD19" s="1176">
        <v>0.43</v>
      </c>
      <c r="CE19" s="1176">
        <v>0.54</v>
      </c>
      <c r="CF19" s="1176">
        <v>0.65</v>
      </c>
      <c r="CG19" s="1176">
        <v>0.86</v>
      </c>
      <c r="CH19" s="1176">
        <v>1.08</v>
      </c>
      <c r="CI19" s="1176">
        <v>1.3</v>
      </c>
      <c r="CJ19" s="1176">
        <v>1.73</v>
      </c>
      <c r="CK19" s="1176">
        <v>2.16</v>
      </c>
      <c r="CL19" s="1176">
        <v>2.59</v>
      </c>
      <c r="CM19" s="1175">
        <v>0</v>
      </c>
      <c r="CN19" s="1175">
        <v>0</v>
      </c>
      <c r="CO19" s="1175">
        <v>0</v>
      </c>
    </row>
    <row r="20" spans="1:93" s="769" customFormat="1" ht="15.75" customHeight="1" thickTop="1" thickBot="1" x14ac:dyDescent="0.35">
      <c r="A20" s="1205"/>
      <c r="C20" s="1167" t="str">
        <f>'Cálc. Sist. Extinção Automática'!E32</f>
        <v/>
      </c>
      <c r="D20" s="1168" t="str">
        <f>IF('Cálc. Sist. Extinção Automática'!F32="","",'Cálc. Sist. Extinção Automática'!F32)</f>
        <v/>
      </c>
      <c r="E20" s="1168" t="str">
        <f>IF('Cálc. Sist. Extinção Automática'!G32="","",'Cálc. Sist. Extinção Automática'!G32)</f>
        <v/>
      </c>
      <c r="F20" s="1169" t="str">
        <f>IF('Cálc. Sist. Extinção Automática'!AA32="","",'Cálc. Sist. Extinção Automática'!AA32)</f>
        <v/>
      </c>
      <c r="G20" s="1279" t="str">
        <f t="shared" si="35"/>
        <v/>
      </c>
      <c r="H20" s="1170"/>
      <c r="I20" s="1218" t="str">
        <f t="shared" si="34"/>
        <v/>
      </c>
      <c r="J20" s="1259"/>
      <c r="K20" s="1171"/>
      <c r="L20" s="1171"/>
      <c r="M20" s="1171"/>
      <c r="N20" s="1171"/>
      <c r="O20" s="1171"/>
      <c r="P20" s="1171"/>
      <c r="Q20" s="1171"/>
      <c r="R20" s="1171"/>
      <c r="S20" s="1171"/>
      <c r="T20" s="1171"/>
      <c r="U20" s="1171"/>
      <c r="V20" s="1171"/>
      <c r="W20" s="1171"/>
      <c r="X20" s="1171"/>
      <c r="Y20" s="1171"/>
      <c r="Z20" s="1171"/>
      <c r="AA20" s="1171"/>
      <c r="AB20" s="1171"/>
      <c r="AC20" s="1171"/>
      <c r="AD20" s="1171"/>
      <c r="AE20" s="1171"/>
      <c r="AF20" s="1171"/>
      <c r="AG20" s="1171"/>
      <c r="AH20" s="1171"/>
      <c r="AI20" s="1171"/>
      <c r="AJ20" s="1171"/>
      <c r="AK20" s="1171"/>
      <c r="AL20" s="1171"/>
      <c r="AM20" s="1171"/>
      <c r="AN20" s="1171"/>
      <c r="AO20" s="3"/>
      <c r="AP20" s="1212"/>
      <c r="AQ20" s="3"/>
      <c r="AR20" s="1198" t="str">
        <f t="shared" si="4"/>
        <v/>
      </c>
      <c r="AS20" s="1198" t="str">
        <f t="shared" si="5"/>
        <v/>
      </c>
      <c r="AT20" s="1198" t="str">
        <f t="shared" si="6"/>
        <v/>
      </c>
      <c r="AU20" s="1198" t="str">
        <f t="shared" si="7"/>
        <v/>
      </c>
      <c r="AV20" s="1198" t="str">
        <f t="shared" si="8"/>
        <v/>
      </c>
      <c r="AW20" s="1198" t="str">
        <f t="shared" si="9"/>
        <v/>
      </c>
      <c r="AX20" s="1198" t="str">
        <f t="shared" si="10"/>
        <v/>
      </c>
      <c r="AY20" s="1198" t="str">
        <f t="shared" si="11"/>
        <v/>
      </c>
      <c r="AZ20" s="1198" t="str">
        <f t="shared" si="12"/>
        <v/>
      </c>
      <c r="BA20" s="1198" t="str">
        <f t="shared" si="13"/>
        <v/>
      </c>
      <c r="BB20" s="1198" t="str">
        <f t="shared" si="14"/>
        <v/>
      </c>
      <c r="BC20" s="1198" t="str">
        <f t="shared" si="15"/>
        <v/>
      </c>
      <c r="BD20" s="1198" t="str">
        <f t="shared" si="16"/>
        <v/>
      </c>
      <c r="BE20" s="1198" t="str">
        <f t="shared" si="17"/>
        <v/>
      </c>
      <c r="BF20" s="1198" t="str">
        <f t="shared" si="18"/>
        <v/>
      </c>
      <c r="BG20" s="1198" t="str">
        <f t="shared" si="19"/>
        <v/>
      </c>
      <c r="BH20" s="1198" t="str">
        <f t="shared" si="20"/>
        <v/>
      </c>
      <c r="BI20" s="1198" t="str">
        <f t="shared" si="21"/>
        <v/>
      </c>
      <c r="BJ20" s="1198" t="str">
        <f t="shared" si="22"/>
        <v/>
      </c>
      <c r="BK20" s="1199" t="str">
        <f t="shared" si="23"/>
        <v/>
      </c>
      <c r="BL20" s="1199" t="str">
        <f t="shared" si="24"/>
        <v/>
      </c>
      <c r="BM20" s="1199" t="str">
        <f t="shared" si="25"/>
        <v/>
      </c>
      <c r="BN20" s="1199" t="str">
        <f t="shared" si="26"/>
        <v/>
      </c>
      <c r="BO20" s="1199" t="str">
        <f t="shared" si="27"/>
        <v/>
      </c>
      <c r="BP20" s="1199" t="str">
        <f t="shared" si="28"/>
        <v/>
      </c>
      <c r="BQ20" s="1198" t="str">
        <f t="shared" si="29"/>
        <v/>
      </c>
      <c r="BR20" s="1198" t="str">
        <f t="shared" si="30"/>
        <v/>
      </c>
      <c r="BS20" s="1198" t="str">
        <f t="shared" si="31"/>
        <v/>
      </c>
      <c r="BT20" s="1198" t="str">
        <f t="shared" si="32"/>
        <v/>
      </c>
      <c r="BU20" s="1198" t="str">
        <f t="shared" si="33"/>
        <v/>
      </c>
      <c r="BV20" s="3"/>
      <c r="BW20" s="1172">
        <v>85</v>
      </c>
      <c r="BX20" s="1173" t="s">
        <v>168</v>
      </c>
      <c r="BY20" s="1173"/>
      <c r="BZ20" s="1175">
        <v>0</v>
      </c>
      <c r="CA20" s="1175">
        <v>0</v>
      </c>
      <c r="CB20" s="1176">
        <v>0.87</v>
      </c>
      <c r="CC20" s="1175">
        <v>0</v>
      </c>
      <c r="CD20" s="1175">
        <v>0</v>
      </c>
      <c r="CE20" s="1175">
        <v>0</v>
      </c>
      <c r="CF20" s="1175">
        <v>0</v>
      </c>
      <c r="CG20" s="1175">
        <v>0</v>
      </c>
      <c r="CH20" s="1175">
        <v>0</v>
      </c>
      <c r="CI20" s="1175">
        <v>0</v>
      </c>
      <c r="CJ20" s="1175">
        <v>0</v>
      </c>
      <c r="CK20" s="1175">
        <v>0</v>
      </c>
      <c r="CL20" s="1175">
        <v>0</v>
      </c>
      <c r="CM20" s="1175">
        <v>0</v>
      </c>
      <c r="CN20" s="1175">
        <v>0</v>
      </c>
      <c r="CO20" s="1175">
        <v>0</v>
      </c>
    </row>
    <row r="21" spans="1:93" s="769" customFormat="1" ht="15.75" customHeight="1" thickTop="1" thickBot="1" x14ac:dyDescent="0.35">
      <c r="A21" s="1205"/>
      <c r="C21" s="1167" t="str">
        <f>'Cálc. Sist. Extinção Automática'!E33</f>
        <v/>
      </c>
      <c r="D21" s="1168" t="str">
        <f>IF('Cálc. Sist. Extinção Automática'!F33="","",'Cálc. Sist. Extinção Automática'!F33)</f>
        <v/>
      </c>
      <c r="E21" s="1168" t="str">
        <f>IF('Cálc. Sist. Extinção Automática'!G33="","",'Cálc. Sist. Extinção Automática'!G33)</f>
        <v/>
      </c>
      <c r="F21" s="1169" t="str">
        <f>IF('Cálc. Sist. Extinção Automática'!AA33="","",'Cálc. Sist. Extinção Automática'!AA33)</f>
        <v/>
      </c>
      <c r="G21" s="1279" t="str">
        <f t="shared" si="35"/>
        <v/>
      </c>
      <c r="H21" s="1170"/>
      <c r="I21" s="1218" t="str">
        <f t="shared" si="34"/>
        <v/>
      </c>
      <c r="J21" s="1259"/>
      <c r="K21" s="1171"/>
      <c r="L21" s="1171"/>
      <c r="M21" s="1171"/>
      <c r="N21" s="1171"/>
      <c r="O21" s="1171"/>
      <c r="P21" s="1171"/>
      <c r="Q21" s="1171"/>
      <c r="R21" s="1171"/>
      <c r="S21" s="1171"/>
      <c r="T21" s="1171"/>
      <c r="U21" s="1171"/>
      <c r="V21" s="1171"/>
      <c r="W21" s="1171"/>
      <c r="X21" s="1171"/>
      <c r="Y21" s="1171"/>
      <c r="Z21" s="1171"/>
      <c r="AA21" s="1171"/>
      <c r="AB21" s="1171"/>
      <c r="AC21" s="1171"/>
      <c r="AD21" s="1171"/>
      <c r="AE21" s="1171"/>
      <c r="AF21" s="1171"/>
      <c r="AG21" s="1171"/>
      <c r="AH21" s="1171"/>
      <c r="AI21" s="1171"/>
      <c r="AJ21" s="1171"/>
      <c r="AK21" s="1171"/>
      <c r="AL21" s="1171"/>
      <c r="AM21" s="1171"/>
      <c r="AN21" s="1171"/>
      <c r="AO21" s="3"/>
      <c r="AP21" s="1212"/>
      <c r="AQ21" s="3"/>
      <c r="AR21" s="1198" t="str">
        <f t="shared" si="4"/>
        <v/>
      </c>
      <c r="AS21" s="1198" t="str">
        <f t="shared" si="5"/>
        <v/>
      </c>
      <c r="AT21" s="1198" t="str">
        <f t="shared" si="6"/>
        <v/>
      </c>
      <c r="AU21" s="1198" t="str">
        <f t="shared" si="7"/>
        <v/>
      </c>
      <c r="AV21" s="1198" t="str">
        <f t="shared" si="8"/>
        <v/>
      </c>
      <c r="AW21" s="1198" t="str">
        <f t="shared" si="9"/>
        <v/>
      </c>
      <c r="AX21" s="1198" t="str">
        <f t="shared" si="10"/>
        <v/>
      </c>
      <c r="AY21" s="1198" t="str">
        <f t="shared" si="11"/>
        <v/>
      </c>
      <c r="AZ21" s="1198" t="str">
        <f t="shared" si="12"/>
        <v/>
      </c>
      <c r="BA21" s="1198" t="str">
        <f t="shared" si="13"/>
        <v/>
      </c>
      <c r="BB21" s="1198" t="str">
        <f t="shared" si="14"/>
        <v/>
      </c>
      <c r="BC21" s="1198" t="str">
        <f t="shared" si="15"/>
        <v/>
      </c>
      <c r="BD21" s="1198" t="str">
        <f t="shared" si="16"/>
        <v/>
      </c>
      <c r="BE21" s="1198" t="str">
        <f t="shared" si="17"/>
        <v/>
      </c>
      <c r="BF21" s="1198" t="str">
        <f t="shared" si="18"/>
        <v/>
      </c>
      <c r="BG21" s="1198" t="str">
        <f t="shared" si="19"/>
        <v/>
      </c>
      <c r="BH21" s="1198" t="str">
        <f t="shared" si="20"/>
        <v/>
      </c>
      <c r="BI21" s="1198" t="str">
        <f t="shared" si="21"/>
        <v/>
      </c>
      <c r="BJ21" s="1198" t="str">
        <f t="shared" si="22"/>
        <v/>
      </c>
      <c r="BK21" s="1199" t="str">
        <f t="shared" si="23"/>
        <v/>
      </c>
      <c r="BL21" s="1199" t="str">
        <f t="shared" si="24"/>
        <v/>
      </c>
      <c r="BM21" s="1199" t="str">
        <f t="shared" si="25"/>
        <v/>
      </c>
      <c r="BN21" s="1199" t="str">
        <f t="shared" si="26"/>
        <v/>
      </c>
      <c r="BO21" s="1199" t="str">
        <f t="shared" si="27"/>
        <v/>
      </c>
      <c r="BP21" s="1199" t="str">
        <f t="shared" si="28"/>
        <v/>
      </c>
      <c r="BQ21" s="1198" t="str">
        <f t="shared" si="29"/>
        <v/>
      </c>
      <c r="BR21" s="1198" t="str">
        <f t="shared" si="30"/>
        <v/>
      </c>
      <c r="BS21" s="1198" t="str">
        <f t="shared" si="31"/>
        <v/>
      </c>
      <c r="BT21" s="1198" t="str">
        <f t="shared" si="32"/>
        <v/>
      </c>
      <c r="BU21" s="1198" t="str">
        <f t="shared" si="33"/>
        <v/>
      </c>
      <c r="BV21" s="3"/>
      <c r="BW21" s="1172">
        <v>90</v>
      </c>
      <c r="BX21" s="1173" t="s">
        <v>169</v>
      </c>
      <c r="BY21" s="1173"/>
      <c r="BZ21" s="1176">
        <v>0.23</v>
      </c>
      <c r="CA21" s="1176">
        <v>0.35</v>
      </c>
      <c r="CB21" s="1176">
        <v>0.47</v>
      </c>
      <c r="CC21" s="1176">
        <v>0.7</v>
      </c>
      <c r="CD21" s="1176">
        <v>0.94</v>
      </c>
      <c r="CE21" s="1176">
        <v>1.17</v>
      </c>
      <c r="CF21" s="1176">
        <v>1.41</v>
      </c>
      <c r="CG21" s="1176">
        <v>1.88</v>
      </c>
      <c r="CH21" s="1176">
        <v>2.35</v>
      </c>
      <c r="CI21" s="1176">
        <v>2.82</v>
      </c>
      <c r="CJ21" s="1176">
        <v>3.76</v>
      </c>
      <c r="CK21" s="1176">
        <v>4.7</v>
      </c>
      <c r="CL21" s="1176">
        <v>5.64</v>
      </c>
      <c r="CM21" s="1175">
        <v>0</v>
      </c>
      <c r="CN21" s="1175">
        <v>0</v>
      </c>
      <c r="CO21" s="1175">
        <v>0</v>
      </c>
    </row>
    <row r="22" spans="1:93" s="769" customFormat="1" ht="15.75" customHeight="1" thickTop="1" thickBot="1" x14ac:dyDescent="0.35">
      <c r="A22" s="1205"/>
      <c r="C22" s="1167" t="str">
        <f>'Cálc. Sist. Extinção Automática'!E34</f>
        <v/>
      </c>
      <c r="D22" s="1168" t="str">
        <f>IF('Cálc. Sist. Extinção Automática'!F34="","",'Cálc. Sist. Extinção Automática'!F34)</f>
        <v/>
      </c>
      <c r="E22" s="1168" t="str">
        <f>IF('Cálc. Sist. Extinção Automática'!G34="","",'Cálc. Sist. Extinção Automática'!G34)</f>
        <v/>
      </c>
      <c r="F22" s="1169" t="str">
        <f>IF('Cálc. Sist. Extinção Automática'!AA34="","",'Cálc. Sist. Extinção Automática'!AA34)</f>
        <v/>
      </c>
      <c r="G22" s="1279" t="str">
        <f t="shared" si="35"/>
        <v/>
      </c>
      <c r="H22" s="1170"/>
      <c r="I22" s="1218" t="str">
        <f t="shared" si="34"/>
        <v/>
      </c>
      <c r="J22" s="1259"/>
      <c r="K22" s="1171"/>
      <c r="L22" s="1171"/>
      <c r="M22" s="1171"/>
      <c r="N22" s="1171"/>
      <c r="O22" s="1171"/>
      <c r="P22" s="1171"/>
      <c r="Q22" s="1171"/>
      <c r="R22" s="1171"/>
      <c r="S22" s="1171"/>
      <c r="T22" s="1171"/>
      <c r="U22" s="1171"/>
      <c r="V22" s="1171"/>
      <c r="W22" s="1171"/>
      <c r="X22" s="1171"/>
      <c r="Y22" s="1171"/>
      <c r="Z22" s="1171"/>
      <c r="AA22" s="1171"/>
      <c r="AB22" s="1171"/>
      <c r="AC22" s="1171"/>
      <c r="AD22" s="1171"/>
      <c r="AE22" s="1171"/>
      <c r="AF22" s="1171"/>
      <c r="AG22" s="1171"/>
      <c r="AH22" s="1171"/>
      <c r="AI22" s="1171"/>
      <c r="AJ22" s="1171"/>
      <c r="AK22" s="1171"/>
      <c r="AL22" s="1171"/>
      <c r="AM22" s="1171"/>
      <c r="AN22" s="1171"/>
      <c r="AO22" s="3"/>
      <c r="AP22" s="1212"/>
      <c r="AQ22" s="3"/>
      <c r="AR22" s="1198" t="str">
        <f t="shared" si="4"/>
        <v/>
      </c>
      <c r="AS22" s="1198" t="str">
        <f t="shared" si="5"/>
        <v/>
      </c>
      <c r="AT22" s="1198" t="str">
        <f t="shared" si="6"/>
        <v/>
      </c>
      <c r="AU22" s="1198" t="str">
        <f t="shared" si="7"/>
        <v/>
      </c>
      <c r="AV22" s="1198" t="str">
        <f t="shared" si="8"/>
        <v/>
      </c>
      <c r="AW22" s="1198" t="str">
        <f t="shared" si="9"/>
        <v/>
      </c>
      <c r="AX22" s="1198" t="str">
        <f t="shared" si="10"/>
        <v/>
      </c>
      <c r="AY22" s="1198" t="str">
        <f t="shared" si="11"/>
        <v/>
      </c>
      <c r="AZ22" s="1198" t="str">
        <f t="shared" si="12"/>
        <v/>
      </c>
      <c r="BA22" s="1198" t="str">
        <f t="shared" si="13"/>
        <v/>
      </c>
      <c r="BB22" s="1198" t="str">
        <f t="shared" si="14"/>
        <v/>
      </c>
      <c r="BC22" s="1198" t="str">
        <f t="shared" si="15"/>
        <v/>
      </c>
      <c r="BD22" s="1198" t="str">
        <f t="shared" si="16"/>
        <v/>
      </c>
      <c r="BE22" s="1198" t="str">
        <f t="shared" si="17"/>
        <v/>
      </c>
      <c r="BF22" s="1198" t="str">
        <f t="shared" si="18"/>
        <v/>
      </c>
      <c r="BG22" s="1198" t="str">
        <f t="shared" si="19"/>
        <v/>
      </c>
      <c r="BH22" s="1198" t="str">
        <f t="shared" si="20"/>
        <v/>
      </c>
      <c r="BI22" s="1198" t="str">
        <f t="shared" si="21"/>
        <v/>
      </c>
      <c r="BJ22" s="1198" t="str">
        <f t="shared" si="22"/>
        <v/>
      </c>
      <c r="BK22" s="1199" t="str">
        <f t="shared" si="23"/>
        <v/>
      </c>
      <c r="BL22" s="1199" t="str">
        <f t="shared" si="24"/>
        <v/>
      </c>
      <c r="BM22" s="1199" t="str">
        <f t="shared" si="25"/>
        <v/>
      </c>
      <c r="BN22" s="1199" t="str">
        <f t="shared" si="26"/>
        <v/>
      </c>
      <c r="BO22" s="1199" t="str">
        <f t="shared" si="27"/>
        <v/>
      </c>
      <c r="BP22" s="1199" t="str">
        <f t="shared" si="28"/>
        <v/>
      </c>
      <c r="BQ22" s="1198" t="str">
        <f t="shared" si="29"/>
        <v/>
      </c>
      <c r="BR22" s="1198" t="str">
        <f t="shared" si="30"/>
        <v/>
      </c>
      <c r="BS22" s="1198" t="str">
        <f t="shared" si="31"/>
        <v/>
      </c>
      <c r="BT22" s="1198" t="str">
        <f t="shared" si="32"/>
        <v/>
      </c>
      <c r="BU22" s="1198" t="str">
        <f t="shared" si="33"/>
        <v/>
      </c>
      <c r="BV22" s="3"/>
      <c r="BW22" s="1172" t="s">
        <v>170</v>
      </c>
      <c r="BX22" s="1173" t="s">
        <v>171</v>
      </c>
      <c r="BY22" s="1173"/>
      <c r="BZ22" s="1175">
        <v>0</v>
      </c>
      <c r="CA22" s="1175">
        <v>0</v>
      </c>
      <c r="CB22" s="1175">
        <v>0</v>
      </c>
      <c r="CC22" s="1175">
        <v>0</v>
      </c>
      <c r="CD22" s="1175">
        <v>0</v>
      </c>
      <c r="CE22" s="1175">
        <v>0</v>
      </c>
      <c r="CF22" s="1175">
        <v>0</v>
      </c>
      <c r="CG22" s="1175">
        <v>0</v>
      </c>
      <c r="CH22" s="1175">
        <v>0</v>
      </c>
      <c r="CI22" s="1175">
        <v>0</v>
      </c>
      <c r="CJ22" s="1175">
        <v>0</v>
      </c>
      <c r="CK22" s="1175">
        <v>0</v>
      </c>
      <c r="CL22" s="1175">
        <v>0</v>
      </c>
      <c r="CM22" s="1175">
        <v>0</v>
      </c>
      <c r="CN22" s="1175">
        <v>0</v>
      </c>
      <c r="CO22" s="1175">
        <v>0</v>
      </c>
    </row>
    <row r="23" spans="1:93" s="769" customFormat="1" ht="15.75" customHeight="1" thickTop="1" thickBot="1" x14ac:dyDescent="0.35">
      <c r="A23" s="1205"/>
      <c r="C23" s="1167" t="str">
        <f>'Cálc. Sist. Extinção Automática'!E35</f>
        <v/>
      </c>
      <c r="D23" s="1168" t="str">
        <f>IF('Cálc. Sist. Extinção Automática'!F35="","",'Cálc. Sist. Extinção Automática'!F35)</f>
        <v/>
      </c>
      <c r="E23" s="1168" t="str">
        <f>IF('Cálc. Sist. Extinção Automática'!G35="","",'Cálc. Sist. Extinção Automática'!G35)</f>
        <v/>
      </c>
      <c r="F23" s="1169" t="str">
        <f>IF('Cálc. Sist. Extinção Automática'!AA35="","",'Cálc. Sist. Extinção Automática'!AA35)</f>
        <v/>
      </c>
      <c r="G23" s="1279" t="str">
        <f t="shared" si="35"/>
        <v/>
      </c>
      <c r="H23" s="1170"/>
      <c r="I23" s="1218" t="str">
        <f t="shared" si="34"/>
        <v/>
      </c>
      <c r="J23" s="1259"/>
      <c r="K23" s="1171"/>
      <c r="L23" s="1171"/>
      <c r="M23" s="1171"/>
      <c r="N23" s="1171"/>
      <c r="O23" s="1171"/>
      <c r="P23" s="1171"/>
      <c r="Q23" s="1171"/>
      <c r="R23" s="1171"/>
      <c r="S23" s="1171"/>
      <c r="T23" s="1171"/>
      <c r="U23" s="1171"/>
      <c r="V23" s="1171"/>
      <c r="W23" s="1171"/>
      <c r="X23" s="1171"/>
      <c r="Y23" s="1171"/>
      <c r="Z23" s="1171"/>
      <c r="AA23" s="1171"/>
      <c r="AB23" s="1171"/>
      <c r="AC23" s="1171"/>
      <c r="AD23" s="1171"/>
      <c r="AE23" s="1171"/>
      <c r="AF23" s="1171"/>
      <c r="AG23" s="1171"/>
      <c r="AH23" s="1171"/>
      <c r="AI23" s="1171"/>
      <c r="AJ23" s="1171"/>
      <c r="AK23" s="1171"/>
      <c r="AL23" s="1171"/>
      <c r="AM23" s="1171"/>
      <c r="AN23" s="1171"/>
      <c r="AO23" s="3"/>
      <c r="AP23" s="1212"/>
      <c r="AQ23" s="3"/>
      <c r="AR23" s="1198" t="str">
        <f t="shared" si="4"/>
        <v/>
      </c>
      <c r="AS23" s="1198" t="str">
        <f t="shared" si="5"/>
        <v/>
      </c>
      <c r="AT23" s="1198" t="str">
        <f t="shared" si="6"/>
        <v/>
      </c>
      <c r="AU23" s="1198" t="str">
        <f t="shared" si="7"/>
        <v/>
      </c>
      <c r="AV23" s="1198" t="str">
        <f t="shared" si="8"/>
        <v/>
      </c>
      <c r="AW23" s="1198" t="str">
        <f t="shared" si="9"/>
        <v/>
      </c>
      <c r="AX23" s="1198" t="str">
        <f t="shared" si="10"/>
        <v/>
      </c>
      <c r="AY23" s="1198" t="str">
        <f t="shared" si="11"/>
        <v/>
      </c>
      <c r="AZ23" s="1198" t="str">
        <f t="shared" si="12"/>
        <v/>
      </c>
      <c r="BA23" s="1198" t="str">
        <f t="shared" si="13"/>
        <v/>
      </c>
      <c r="BB23" s="1198" t="str">
        <f t="shared" si="14"/>
        <v/>
      </c>
      <c r="BC23" s="1198" t="str">
        <f t="shared" si="15"/>
        <v/>
      </c>
      <c r="BD23" s="1198" t="str">
        <f t="shared" si="16"/>
        <v/>
      </c>
      <c r="BE23" s="1198" t="str">
        <f t="shared" si="17"/>
        <v/>
      </c>
      <c r="BF23" s="1198" t="str">
        <f t="shared" si="18"/>
        <v/>
      </c>
      <c r="BG23" s="1198" t="str">
        <f t="shared" si="19"/>
        <v/>
      </c>
      <c r="BH23" s="1198" t="str">
        <f t="shared" si="20"/>
        <v/>
      </c>
      <c r="BI23" s="1198" t="str">
        <f t="shared" si="21"/>
        <v/>
      </c>
      <c r="BJ23" s="1198" t="str">
        <f t="shared" si="22"/>
        <v/>
      </c>
      <c r="BK23" s="1199" t="str">
        <f t="shared" si="23"/>
        <v/>
      </c>
      <c r="BL23" s="1199" t="str">
        <f t="shared" si="24"/>
        <v/>
      </c>
      <c r="BM23" s="1199" t="str">
        <f t="shared" si="25"/>
        <v/>
      </c>
      <c r="BN23" s="1199" t="str">
        <f t="shared" si="26"/>
        <v/>
      </c>
      <c r="BO23" s="1199" t="str">
        <f t="shared" si="27"/>
        <v/>
      </c>
      <c r="BP23" s="1199" t="str">
        <f t="shared" si="28"/>
        <v/>
      </c>
      <c r="BQ23" s="1198" t="str">
        <f t="shared" si="29"/>
        <v/>
      </c>
      <c r="BR23" s="1198" t="str">
        <f t="shared" si="30"/>
        <v/>
      </c>
      <c r="BS23" s="1198" t="str">
        <f t="shared" si="31"/>
        <v/>
      </c>
      <c r="BT23" s="1198" t="str">
        <f t="shared" si="32"/>
        <v/>
      </c>
      <c r="BU23" s="1198" t="str">
        <f t="shared" si="33"/>
        <v/>
      </c>
      <c r="BV23" s="3"/>
      <c r="BW23" s="1172">
        <v>92</v>
      </c>
      <c r="BX23" s="1173" t="s">
        <v>172</v>
      </c>
      <c r="BY23" s="1173"/>
      <c r="BZ23" s="1176">
        <v>0.22</v>
      </c>
      <c r="CA23" s="1176">
        <v>0.33</v>
      </c>
      <c r="CB23" s="1176">
        <v>0.44</v>
      </c>
      <c r="CC23" s="1176">
        <v>0.67</v>
      </c>
      <c r="CD23" s="1176">
        <v>0.89</v>
      </c>
      <c r="CE23" s="1176">
        <v>1.1100000000000001</v>
      </c>
      <c r="CF23" s="1176">
        <v>1.33</v>
      </c>
      <c r="CG23" s="1176">
        <v>1.78</v>
      </c>
      <c r="CH23" s="1175">
        <v>0</v>
      </c>
      <c r="CI23" s="1175">
        <v>0</v>
      </c>
      <c r="CJ23" s="1175">
        <v>0</v>
      </c>
      <c r="CK23" s="1175">
        <v>0</v>
      </c>
      <c r="CL23" s="1175">
        <v>0</v>
      </c>
      <c r="CM23" s="1175">
        <v>0</v>
      </c>
      <c r="CN23" s="1175">
        <v>0</v>
      </c>
      <c r="CO23" s="1175">
        <v>0</v>
      </c>
    </row>
    <row r="24" spans="1:93" s="769" customFormat="1" ht="15.75" customHeight="1" thickTop="1" thickBot="1" x14ac:dyDescent="0.35">
      <c r="A24" s="1205"/>
      <c r="C24" s="1167" t="str">
        <f>'Cálc. Sist. Extinção Automática'!E36</f>
        <v/>
      </c>
      <c r="D24" s="1168" t="str">
        <f>IF('Cálc. Sist. Extinção Automática'!F36="","",'Cálc. Sist. Extinção Automática'!F36)</f>
        <v/>
      </c>
      <c r="E24" s="1168" t="str">
        <f>IF('Cálc. Sist. Extinção Automática'!G36="","",'Cálc. Sist. Extinção Automática'!G36)</f>
        <v/>
      </c>
      <c r="F24" s="1169" t="str">
        <f>IF('Cálc. Sist. Extinção Automática'!AA36="","",'Cálc. Sist. Extinção Automática'!AA36)</f>
        <v/>
      </c>
      <c r="G24" s="1279" t="str">
        <f t="shared" si="35"/>
        <v/>
      </c>
      <c r="H24" s="1170"/>
      <c r="I24" s="1218" t="str">
        <f t="shared" si="34"/>
        <v/>
      </c>
      <c r="J24" s="1259"/>
      <c r="K24" s="1171"/>
      <c r="L24" s="1171"/>
      <c r="M24" s="1171"/>
      <c r="N24" s="1171"/>
      <c r="O24" s="1171"/>
      <c r="P24" s="1171"/>
      <c r="Q24" s="1171"/>
      <c r="R24" s="1171"/>
      <c r="S24" s="1171"/>
      <c r="T24" s="1171"/>
      <c r="U24" s="1171"/>
      <c r="V24" s="1171"/>
      <c r="W24" s="1171"/>
      <c r="X24" s="1171"/>
      <c r="Y24" s="1171"/>
      <c r="Z24" s="1171"/>
      <c r="AA24" s="1171"/>
      <c r="AB24" s="1171"/>
      <c r="AC24" s="1171"/>
      <c r="AD24" s="1171"/>
      <c r="AE24" s="1171"/>
      <c r="AF24" s="1171"/>
      <c r="AG24" s="1171"/>
      <c r="AH24" s="1171"/>
      <c r="AI24" s="1171"/>
      <c r="AJ24" s="1171"/>
      <c r="AK24" s="1171"/>
      <c r="AL24" s="1171"/>
      <c r="AM24" s="1171"/>
      <c r="AN24" s="1171"/>
      <c r="AO24" s="3"/>
      <c r="AP24" s="1212"/>
      <c r="AQ24" s="3"/>
      <c r="AR24" s="1198" t="str">
        <f t="shared" si="4"/>
        <v/>
      </c>
      <c r="AS24" s="1198" t="str">
        <f t="shared" si="5"/>
        <v/>
      </c>
      <c r="AT24" s="1198" t="str">
        <f t="shared" si="6"/>
        <v/>
      </c>
      <c r="AU24" s="1198" t="str">
        <f t="shared" si="7"/>
        <v/>
      </c>
      <c r="AV24" s="1198" t="str">
        <f t="shared" si="8"/>
        <v/>
      </c>
      <c r="AW24" s="1198" t="str">
        <f t="shared" si="9"/>
        <v/>
      </c>
      <c r="AX24" s="1198" t="str">
        <f t="shared" si="10"/>
        <v/>
      </c>
      <c r="AY24" s="1198" t="str">
        <f t="shared" si="11"/>
        <v/>
      </c>
      <c r="AZ24" s="1198" t="str">
        <f t="shared" si="12"/>
        <v/>
      </c>
      <c r="BA24" s="1198" t="str">
        <f t="shared" si="13"/>
        <v/>
      </c>
      <c r="BB24" s="1198" t="str">
        <f t="shared" si="14"/>
        <v/>
      </c>
      <c r="BC24" s="1198" t="str">
        <f t="shared" si="15"/>
        <v/>
      </c>
      <c r="BD24" s="1198" t="str">
        <f t="shared" si="16"/>
        <v/>
      </c>
      <c r="BE24" s="1198" t="str">
        <f t="shared" si="17"/>
        <v/>
      </c>
      <c r="BF24" s="1198" t="str">
        <f t="shared" si="18"/>
        <v/>
      </c>
      <c r="BG24" s="1198" t="str">
        <f t="shared" si="19"/>
        <v/>
      </c>
      <c r="BH24" s="1198" t="str">
        <f t="shared" si="20"/>
        <v/>
      </c>
      <c r="BI24" s="1198" t="str">
        <f t="shared" si="21"/>
        <v/>
      </c>
      <c r="BJ24" s="1198" t="str">
        <f t="shared" si="22"/>
        <v/>
      </c>
      <c r="BK24" s="1199" t="str">
        <f t="shared" si="23"/>
        <v/>
      </c>
      <c r="BL24" s="1199" t="str">
        <f t="shared" si="24"/>
        <v/>
      </c>
      <c r="BM24" s="1199" t="str">
        <f t="shared" si="25"/>
        <v/>
      </c>
      <c r="BN24" s="1199" t="str">
        <f t="shared" si="26"/>
        <v/>
      </c>
      <c r="BO24" s="1199" t="str">
        <f t="shared" si="27"/>
        <v/>
      </c>
      <c r="BP24" s="1199" t="str">
        <f t="shared" si="28"/>
        <v/>
      </c>
      <c r="BQ24" s="1198" t="str">
        <f t="shared" si="29"/>
        <v/>
      </c>
      <c r="BR24" s="1198" t="str">
        <f t="shared" si="30"/>
        <v/>
      </c>
      <c r="BS24" s="1198" t="str">
        <f t="shared" si="31"/>
        <v/>
      </c>
      <c r="BT24" s="1198" t="str">
        <f t="shared" si="32"/>
        <v/>
      </c>
      <c r="BU24" s="1198" t="str">
        <f t="shared" si="33"/>
        <v/>
      </c>
      <c r="BV24" s="3"/>
      <c r="BW24" s="1172" t="s">
        <v>173</v>
      </c>
      <c r="BX24" s="1173" t="s">
        <v>174</v>
      </c>
      <c r="BY24" s="1173"/>
      <c r="BZ24" s="1175">
        <v>0</v>
      </c>
      <c r="CA24" s="1175">
        <v>0</v>
      </c>
      <c r="CB24" s="1175">
        <v>0</v>
      </c>
      <c r="CC24" s="1175">
        <v>0</v>
      </c>
      <c r="CD24" s="1175">
        <v>0</v>
      </c>
      <c r="CE24" s="1175">
        <v>0</v>
      </c>
      <c r="CF24" s="1175">
        <v>0</v>
      </c>
      <c r="CG24" s="1175">
        <v>0</v>
      </c>
      <c r="CH24" s="1175">
        <v>0</v>
      </c>
      <c r="CI24" s="1175">
        <v>0</v>
      </c>
      <c r="CJ24" s="1175">
        <v>0</v>
      </c>
      <c r="CK24" s="1175">
        <v>0</v>
      </c>
      <c r="CL24" s="1175">
        <v>0</v>
      </c>
      <c r="CM24" s="1175">
        <v>0</v>
      </c>
      <c r="CN24" s="1175">
        <v>0</v>
      </c>
      <c r="CO24" s="1175">
        <v>0</v>
      </c>
    </row>
    <row r="25" spans="1:93" s="769" customFormat="1" ht="15.75" customHeight="1" thickTop="1" thickBot="1" x14ac:dyDescent="0.35">
      <c r="A25" s="1205"/>
      <c r="C25" s="1167" t="str">
        <f>'Cálc. Sist. Extinção Automática'!E37</f>
        <v/>
      </c>
      <c r="D25" s="1168" t="str">
        <f>IF('Cálc. Sist. Extinção Automática'!F37="","",'Cálc. Sist. Extinção Automática'!F37)</f>
        <v/>
      </c>
      <c r="E25" s="1168" t="str">
        <f>IF('Cálc. Sist. Extinção Automática'!G37="","",'Cálc. Sist. Extinção Automática'!G37)</f>
        <v/>
      </c>
      <c r="F25" s="1169" t="str">
        <f>IF('Cálc. Sist. Extinção Automática'!AA37="","",'Cálc. Sist. Extinção Automática'!AA37)</f>
        <v/>
      </c>
      <c r="G25" s="1279" t="str">
        <f t="shared" si="35"/>
        <v/>
      </c>
      <c r="H25" s="1170"/>
      <c r="I25" s="1218" t="str">
        <f t="shared" si="34"/>
        <v/>
      </c>
      <c r="J25" s="1259"/>
      <c r="K25" s="1171"/>
      <c r="L25" s="1171"/>
      <c r="M25" s="1171"/>
      <c r="N25" s="1171"/>
      <c r="O25" s="1171"/>
      <c r="P25" s="1171"/>
      <c r="Q25" s="1171"/>
      <c r="R25" s="1171"/>
      <c r="S25" s="1171"/>
      <c r="T25" s="1171"/>
      <c r="U25" s="1171"/>
      <c r="V25" s="1171"/>
      <c r="W25" s="1171"/>
      <c r="X25" s="1171"/>
      <c r="Y25" s="1171"/>
      <c r="Z25" s="1171"/>
      <c r="AA25" s="1171"/>
      <c r="AB25" s="1171"/>
      <c r="AC25" s="1171"/>
      <c r="AD25" s="1171"/>
      <c r="AE25" s="1171"/>
      <c r="AF25" s="1171"/>
      <c r="AG25" s="1171"/>
      <c r="AH25" s="1171"/>
      <c r="AI25" s="1171"/>
      <c r="AJ25" s="1171"/>
      <c r="AK25" s="1171"/>
      <c r="AL25" s="1171"/>
      <c r="AM25" s="1171"/>
      <c r="AN25" s="1171"/>
      <c r="AO25" s="3"/>
      <c r="AP25" s="1212"/>
      <c r="AQ25" s="3"/>
      <c r="AR25" s="1198" t="str">
        <f t="shared" si="4"/>
        <v/>
      </c>
      <c r="AS25" s="1198" t="str">
        <f t="shared" si="5"/>
        <v/>
      </c>
      <c r="AT25" s="1198" t="str">
        <f t="shared" si="6"/>
        <v/>
      </c>
      <c r="AU25" s="1198" t="str">
        <f t="shared" si="7"/>
        <v/>
      </c>
      <c r="AV25" s="1198" t="str">
        <f t="shared" si="8"/>
        <v/>
      </c>
      <c r="AW25" s="1198" t="str">
        <f t="shared" si="9"/>
        <v/>
      </c>
      <c r="AX25" s="1198" t="str">
        <f t="shared" si="10"/>
        <v/>
      </c>
      <c r="AY25" s="1198" t="str">
        <f t="shared" si="11"/>
        <v/>
      </c>
      <c r="AZ25" s="1198" t="str">
        <f t="shared" si="12"/>
        <v/>
      </c>
      <c r="BA25" s="1198" t="str">
        <f t="shared" si="13"/>
        <v/>
      </c>
      <c r="BB25" s="1198" t="str">
        <f t="shared" si="14"/>
        <v/>
      </c>
      <c r="BC25" s="1198" t="str">
        <f t="shared" si="15"/>
        <v/>
      </c>
      <c r="BD25" s="1198" t="str">
        <f t="shared" si="16"/>
        <v/>
      </c>
      <c r="BE25" s="1198" t="str">
        <f t="shared" si="17"/>
        <v/>
      </c>
      <c r="BF25" s="1198" t="str">
        <f t="shared" si="18"/>
        <v/>
      </c>
      <c r="BG25" s="1198" t="str">
        <f t="shared" si="19"/>
        <v/>
      </c>
      <c r="BH25" s="1198" t="str">
        <f t="shared" si="20"/>
        <v/>
      </c>
      <c r="BI25" s="1198" t="str">
        <f t="shared" si="21"/>
        <v/>
      </c>
      <c r="BJ25" s="1198" t="str">
        <f t="shared" si="22"/>
        <v/>
      </c>
      <c r="BK25" s="1199" t="str">
        <f t="shared" si="23"/>
        <v/>
      </c>
      <c r="BL25" s="1199" t="str">
        <f t="shared" si="24"/>
        <v/>
      </c>
      <c r="BM25" s="1199" t="str">
        <f t="shared" si="25"/>
        <v/>
      </c>
      <c r="BN25" s="1199" t="str">
        <f t="shared" si="26"/>
        <v/>
      </c>
      <c r="BO25" s="1199" t="str">
        <f t="shared" si="27"/>
        <v/>
      </c>
      <c r="BP25" s="1199" t="str">
        <f t="shared" si="28"/>
        <v/>
      </c>
      <c r="BQ25" s="1198" t="str">
        <f t="shared" si="29"/>
        <v/>
      </c>
      <c r="BR25" s="1198" t="str">
        <f t="shared" si="30"/>
        <v/>
      </c>
      <c r="BS25" s="1198" t="str">
        <f t="shared" si="31"/>
        <v/>
      </c>
      <c r="BT25" s="1198" t="str">
        <f t="shared" si="32"/>
        <v/>
      </c>
      <c r="BU25" s="1198" t="str">
        <f t="shared" si="33"/>
        <v/>
      </c>
      <c r="BV25" s="3"/>
      <c r="BW25" s="1172">
        <v>95</v>
      </c>
      <c r="BX25" s="1173" t="s">
        <v>175</v>
      </c>
      <c r="BY25" s="1173"/>
      <c r="BZ25" s="1176">
        <v>0.24</v>
      </c>
      <c r="CA25" s="1176">
        <v>0.36</v>
      </c>
      <c r="CB25" s="1176">
        <v>0.48</v>
      </c>
      <c r="CC25" s="1176">
        <v>0.72</v>
      </c>
      <c r="CD25" s="1176">
        <v>0.97</v>
      </c>
      <c r="CE25" s="1176">
        <v>1.21</v>
      </c>
      <c r="CF25" s="1176">
        <v>1.46</v>
      </c>
      <c r="CG25" s="1176">
        <v>1.94</v>
      </c>
      <c r="CH25" s="1176">
        <v>2.44</v>
      </c>
      <c r="CI25" s="1176">
        <v>2.94</v>
      </c>
      <c r="CJ25" s="1176">
        <v>3.91</v>
      </c>
      <c r="CK25" s="1175">
        <v>0</v>
      </c>
      <c r="CL25" s="1175">
        <v>0</v>
      </c>
      <c r="CM25" s="1175">
        <v>0</v>
      </c>
      <c r="CN25" s="1175">
        <v>0</v>
      </c>
      <c r="CO25" s="1175">
        <v>0</v>
      </c>
    </row>
    <row r="26" spans="1:93" s="769" customFormat="1" ht="15.75" customHeight="1" thickTop="1" thickBot="1" x14ac:dyDescent="0.35">
      <c r="A26" s="1205"/>
      <c r="C26" s="1167" t="str">
        <f>'Cálc. Sist. Extinção Automática'!E38</f>
        <v/>
      </c>
      <c r="D26" s="1168" t="str">
        <f>IF('Cálc. Sist. Extinção Automática'!F38="","",'Cálc. Sist. Extinção Automática'!F38)</f>
        <v/>
      </c>
      <c r="E26" s="1168" t="str">
        <f>IF('Cálc. Sist. Extinção Automática'!G38="","",'Cálc. Sist. Extinção Automática'!G38)</f>
        <v/>
      </c>
      <c r="F26" s="1169" t="str">
        <f>IF('Cálc. Sist. Extinção Automática'!AA38="","",'Cálc. Sist. Extinção Automática'!AA38)</f>
        <v/>
      </c>
      <c r="G26" s="1279" t="str">
        <f t="shared" si="35"/>
        <v/>
      </c>
      <c r="H26" s="1170"/>
      <c r="I26" s="1218" t="str">
        <f t="shared" si="34"/>
        <v/>
      </c>
      <c r="J26" s="1259"/>
      <c r="K26" s="1171"/>
      <c r="L26" s="1171"/>
      <c r="M26" s="1171"/>
      <c r="N26" s="1171"/>
      <c r="O26" s="1171"/>
      <c r="P26" s="1171"/>
      <c r="Q26" s="1171"/>
      <c r="R26" s="1171"/>
      <c r="S26" s="1171"/>
      <c r="T26" s="1171"/>
      <c r="U26" s="1171"/>
      <c r="V26" s="1171"/>
      <c r="W26" s="1171"/>
      <c r="X26" s="1171"/>
      <c r="Y26" s="1171"/>
      <c r="Z26" s="1171"/>
      <c r="AA26" s="1171"/>
      <c r="AB26" s="1171"/>
      <c r="AC26" s="1171"/>
      <c r="AD26" s="1171"/>
      <c r="AE26" s="1171"/>
      <c r="AF26" s="1171"/>
      <c r="AG26" s="1171"/>
      <c r="AH26" s="1171"/>
      <c r="AI26" s="1171"/>
      <c r="AJ26" s="1171"/>
      <c r="AK26" s="1171"/>
      <c r="AL26" s="1171"/>
      <c r="AM26" s="1171"/>
      <c r="AN26" s="1171"/>
      <c r="AO26" s="3"/>
      <c r="AP26" s="1212"/>
      <c r="AQ26" s="3"/>
      <c r="AR26" s="1198" t="str">
        <f t="shared" si="4"/>
        <v/>
      </c>
      <c r="AS26" s="1198" t="str">
        <f t="shared" si="5"/>
        <v/>
      </c>
      <c r="AT26" s="1198" t="str">
        <f t="shared" si="6"/>
        <v/>
      </c>
      <c r="AU26" s="1198" t="str">
        <f t="shared" si="7"/>
        <v/>
      </c>
      <c r="AV26" s="1198" t="str">
        <f t="shared" si="8"/>
        <v/>
      </c>
      <c r="AW26" s="1198" t="str">
        <f t="shared" si="9"/>
        <v/>
      </c>
      <c r="AX26" s="1198" t="str">
        <f t="shared" si="10"/>
        <v/>
      </c>
      <c r="AY26" s="1198" t="str">
        <f t="shared" si="11"/>
        <v/>
      </c>
      <c r="AZ26" s="1198" t="str">
        <f t="shared" si="12"/>
        <v/>
      </c>
      <c r="BA26" s="1198" t="str">
        <f t="shared" si="13"/>
        <v/>
      </c>
      <c r="BB26" s="1198" t="str">
        <f t="shared" si="14"/>
        <v/>
      </c>
      <c r="BC26" s="1198" t="str">
        <f t="shared" si="15"/>
        <v/>
      </c>
      <c r="BD26" s="1198" t="str">
        <f t="shared" si="16"/>
        <v/>
      </c>
      <c r="BE26" s="1198" t="str">
        <f t="shared" si="17"/>
        <v/>
      </c>
      <c r="BF26" s="1198" t="str">
        <f t="shared" si="18"/>
        <v/>
      </c>
      <c r="BG26" s="1198" t="str">
        <f t="shared" si="19"/>
        <v/>
      </c>
      <c r="BH26" s="1198" t="str">
        <f t="shared" si="20"/>
        <v/>
      </c>
      <c r="BI26" s="1198" t="str">
        <f t="shared" si="21"/>
        <v/>
      </c>
      <c r="BJ26" s="1198" t="str">
        <f t="shared" si="22"/>
        <v/>
      </c>
      <c r="BK26" s="1199" t="str">
        <f t="shared" si="23"/>
        <v/>
      </c>
      <c r="BL26" s="1199" t="str">
        <f t="shared" si="24"/>
        <v/>
      </c>
      <c r="BM26" s="1199" t="str">
        <f t="shared" si="25"/>
        <v/>
      </c>
      <c r="BN26" s="1199" t="str">
        <f t="shared" si="26"/>
        <v/>
      </c>
      <c r="BO26" s="1199" t="str">
        <f t="shared" si="27"/>
        <v/>
      </c>
      <c r="BP26" s="1199" t="str">
        <f t="shared" si="28"/>
        <v/>
      </c>
      <c r="BQ26" s="1198" t="str">
        <f t="shared" si="29"/>
        <v/>
      </c>
      <c r="BR26" s="1198" t="str">
        <f t="shared" si="30"/>
        <v/>
      </c>
      <c r="BS26" s="1198" t="str">
        <f t="shared" si="31"/>
        <v/>
      </c>
      <c r="BT26" s="1198" t="str">
        <f t="shared" si="32"/>
        <v/>
      </c>
      <c r="BU26" s="1198" t="str">
        <f t="shared" si="33"/>
        <v/>
      </c>
      <c r="BV26" s="3"/>
      <c r="BW26" s="1172">
        <v>96</v>
      </c>
      <c r="BX26" s="1173" t="s">
        <v>176</v>
      </c>
      <c r="BY26" s="1173"/>
      <c r="BZ26" s="1176">
        <v>0.24</v>
      </c>
      <c r="CA26" s="1176">
        <v>0.36</v>
      </c>
      <c r="CB26" s="1176">
        <v>0.48</v>
      </c>
      <c r="CC26" s="1176">
        <v>0.72</v>
      </c>
      <c r="CD26" s="1176">
        <v>0.97</v>
      </c>
      <c r="CE26" s="1176">
        <v>1.21</v>
      </c>
      <c r="CF26" s="1176">
        <v>1.46</v>
      </c>
      <c r="CG26" s="1176">
        <v>1.94</v>
      </c>
      <c r="CH26" s="1176">
        <v>2.44</v>
      </c>
      <c r="CI26" s="1176">
        <v>2.94</v>
      </c>
      <c r="CJ26" s="1176">
        <v>3.91</v>
      </c>
      <c r="CK26" s="1175">
        <v>0</v>
      </c>
      <c r="CL26" s="1175">
        <v>0</v>
      </c>
      <c r="CM26" s="1175">
        <v>0</v>
      </c>
      <c r="CN26" s="1175">
        <v>0</v>
      </c>
      <c r="CO26" s="1175">
        <v>0</v>
      </c>
    </row>
    <row r="27" spans="1:93" s="769" customFormat="1" ht="15.75" customHeight="1" thickTop="1" thickBot="1" x14ac:dyDescent="0.35">
      <c r="A27" s="1205"/>
      <c r="C27" s="1167" t="str">
        <f>'Cálc. Sist. Extinção Automática'!E39</f>
        <v/>
      </c>
      <c r="D27" s="1168" t="str">
        <f>IF('Cálc. Sist. Extinção Automática'!F39="","",'Cálc. Sist. Extinção Automática'!F39)</f>
        <v/>
      </c>
      <c r="E27" s="1168" t="str">
        <f>IF('Cálc. Sist. Extinção Automática'!G39="","",'Cálc. Sist. Extinção Automática'!G39)</f>
        <v/>
      </c>
      <c r="F27" s="1169" t="str">
        <f>IF('Cálc. Sist. Extinção Automática'!AA39="","",'Cálc. Sist. Extinção Automática'!AA39)</f>
        <v/>
      </c>
      <c r="G27" s="1279" t="str">
        <f t="shared" si="35"/>
        <v/>
      </c>
      <c r="H27" s="1170"/>
      <c r="I27" s="1218" t="str">
        <f t="shared" si="34"/>
        <v/>
      </c>
      <c r="J27" s="1259"/>
      <c r="K27" s="1171"/>
      <c r="L27" s="1171"/>
      <c r="M27" s="1171"/>
      <c r="N27" s="1171"/>
      <c r="O27" s="1171"/>
      <c r="P27" s="1171"/>
      <c r="Q27" s="1171"/>
      <c r="R27" s="1171"/>
      <c r="S27" s="1171"/>
      <c r="T27" s="1171"/>
      <c r="U27" s="1171"/>
      <c r="V27" s="1171"/>
      <c r="W27" s="1171"/>
      <c r="X27" s="1171"/>
      <c r="Y27" s="1171"/>
      <c r="Z27" s="1171"/>
      <c r="AA27" s="1171"/>
      <c r="AB27" s="1171"/>
      <c r="AC27" s="1171"/>
      <c r="AD27" s="1171"/>
      <c r="AE27" s="1171"/>
      <c r="AF27" s="1171"/>
      <c r="AG27" s="1171"/>
      <c r="AH27" s="1171"/>
      <c r="AI27" s="1171"/>
      <c r="AJ27" s="1171"/>
      <c r="AK27" s="1171"/>
      <c r="AL27" s="1171"/>
      <c r="AM27" s="1171"/>
      <c r="AN27" s="1171"/>
      <c r="AO27" s="3"/>
      <c r="AP27" s="1212"/>
      <c r="AQ27" s="3"/>
      <c r="AR27" s="1198" t="str">
        <f t="shared" si="4"/>
        <v/>
      </c>
      <c r="AS27" s="1198" t="str">
        <f t="shared" si="5"/>
        <v/>
      </c>
      <c r="AT27" s="1198" t="str">
        <f t="shared" si="6"/>
        <v/>
      </c>
      <c r="AU27" s="1198" t="str">
        <f t="shared" si="7"/>
        <v/>
      </c>
      <c r="AV27" s="1198" t="str">
        <f t="shared" si="8"/>
        <v/>
      </c>
      <c r="AW27" s="1198" t="str">
        <f t="shared" si="9"/>
        <v/>
      </c>
      <c r="AX27" s="1198" t="str">
        <f t="shared" si="10"/>
        <v/>
      </c>
      <c r="AY27" s="1198" t="str">
        <f t="shared" si="11"/>
        <v/>
      </c>
      <c r="AZ27" s="1198" t="str">
        <f t="shared" si="12"/>
        <v/>
      </c>
      <c r="BA27" s="1198" t="str">
        <f t="shared" si="13"/>
        <v/>
      </c>
      <c r="BB27" s="1198" t="str">
        <f t="shared" si="14"/>
        <v/>
      </c>
      <c r="BC27" s="1198" t="str">
        <f t="shared" si="15"/>
        <v/>
      </c>
      <c r="BD27" s="1198" t="str">
        <f t="shared" si="16"/>
        <v/>
      </c>
      <c r="BE27" s="1198" t="str">
        <f t="shared" si="17"/>
        <v/>
      </c>
      <c r="BF27" s="1198" t="str">
        <f t="shared" si="18"/>
        <v/>
      </c>
      <c r="BG27" s="1198" t="str">
        <f t="shared" si="19"/>
        <v/>
      </c>
      <c r="BH27" s="1198" t="str">
        <f t="shared" si="20"/>
        <v/>
      </c>
      <c r="BI27" s="1198" t="str">
        <f t="shared" si="21"/>
        <v/>
      </c>
      <c r="BJ27" s="1198" t="str">
        <f t="shared" si="22"/>
        <v/>
      </c>
      <c r="BK27" s="1199" t="str">
        <f t="shared" si="23"/>
        <v/>
      </c>
      <c r="BL27" s="1199" t="str">
        <f t="shared" si="24"/>
        <v/>
      </c>
      <c r="BM27" s="1199" t="str">
        <f t="shared" si="25"/>
        <v/>
      </c>
      <c r="BN27" s="1199" t="str">
        <f t="shared" si="26"/>
        <v/>
      </c>
      <c r="BO27" s="1199" t="str">
        <f t="shared" si="27"/>
        <v/>
      </c>
      <c r="BP27" s="1199" t="str">
        <f t="shared" si="28"/>
        <v/>
      </c>
      <c r="BQ27" s="1198" t="str">
        <f t="shared" si="29"/>
        <v/>
      </c>
      <c r="BR27" s="1198" t="str">
        <f t="shared" si="30"/>
        <v/>
      </c>
      <c r="BS27" s="1198" t="str">
        <f t="shared" si="31"/>
        <v/>
      </c>
      <c r="BT27" s="1198" t="str">
        <f t="shared" si="32"/>
        <v/>
      </c>
      <c r="BU27" s="1198" t="str">
        <f t="shared" si="33"/>
        <v/>
      </c>
      <c r="BV27" s="3"/>
      <c r="BW27" s="1172">
        <v>97</v>
      </c>
      <c r="BX27" s="1173" t="s">
        <v>177</v>
      </c>
      <c r="BY27" s="1173"/>
      <c r="BZ27" s="1176">
        <v>0.24</v>
      </c>
      <c r="CA27" s="1176">
        <v>0.36</v>
      </c>
      <c r="CB27" s="1176">
        <v>0.48</v>
      </c>
      <c r="CC27" s="1176">
        <v>0.72</v>
      </c>
      <c r="CD27" s="1176">
        <v>0.97</v>
      </c>
      <c r="CE27" s="1176">
        <v>1.21</v>
      </c>
      <c r="CF27" s="1176">
        <v>1.46</v>
      </c>
      <c r="CG27" s="1176">
        <v>1.94</v>
      </c>
      <c r="CH27" s="1176">
        <v>2.44</v>
      </c>
      <c r="CI27" s="1176">
        <v>2.94</v>
      </c>
      <c r="CJ27" s="1176">
        <v>3.91</v>
      </c>
      <c r="CK27" s="1175">
        <v>0</v>
      </c>
      <c r="CL27" s="1175">
        <v>0</v>
      </c>
      <c r="CM27" s="1175">
        <v>0</v>
      </c>
      <c r="CN27" s="1175">
        <v>0</v>
      </c>
      <c r="CO27" s="1175">
        <v>0</v>
      </c>
    </row>
    <row r="28" spans="1:93" s="769" customFormat="1" ht="15.75" customHeight="1" thickTop="1" thickBot="1" x14ac:dyDescent="0.35">
      <c r="A28" s="1205"/>
      <c r="C28" s="1167" t="str">
        <f>'Cálc. Sist. Extinção Automática'!E40</f>
        <v/>
      </c>
      <c r="D28" s="1168" t="str">
        <f>IF('Cálc. Sist. Extinção Automática'!F40="","",'Cálc. Sist. Extinção Automática'!F40)</f>
        <v/>
      </c>
      <c r="E28" s="1168" t="str">
        <f>IF('Cálc. Sist. Extinção Automática'!G40="","",'Cálc. Sist. Extinção Automática'!G40)</f>
        <v/>
      </c>
      <c r="F28" s="1169" t="str">
        <f>IF('Cálc. Sist. Extinção Automática'!AA40="","",'Cálc. Sist. Extinção Automática'!AA40)</f>
        <v/>
      </c>
      <c r="G28" s="1279" t="str">
        <f t="shared" si="35"/>
        <v/>
      </c>
      <c r="H28" s="1170"/>
      <c r="I28" s="1218" t="str">
        <f t="shared" si="34"/>
        <v/>
      </c>
      <c r="J28" s="1259"/>
      <c r="K28" s="1171"/>
      <c r="L28" s="1171"/>
      <c r="M28" s="1171"/>
      <c r="N28" s="1171"/>
      <c r="O28" s="1171"/>
      <c r="P28" s="1171"/>
      <c r="Q28" s="1171"/>
      <c r="R28" s="1171"/>
      <c r="S28" s="1171"/>
      <c r="T28" s="1171"/>
      <c r="U28" s="1171"/>
      <c r="V28" s="1171"/>
      <c r="W28" s="1171"/>
      <c r="X28" s="1171"/>
      <c r="Y28" s="1171"/>
      <c r="Z28" s="1171"/>
      <c r="AA28" s="1171"/>
      <c r="AB28" s="1171"/>
      <c r="AC28" s="1171"/>
      <c r="AD28" s="1171"/>
      <c r="AE28" s="1171"/>
      <c r="AF28" s="1171"/>
      <c r="AG28" s="1171"/>
      <c r="AH28" s="1171"/>
      <c r="AI28" s="1171"/>
      <c r="AJ28" s="1171"/>
      <c r="AK28" s="1171"/>
      <c r="AL28" s="1171"/>
      <c r="AM28" s="1171"/>
      <c r="AN28" s="1171"/>
      <c r="AO28" s="3"/>
      <c r="AP28" s="1212"/>
      <c r="AQ28" s="3"/>
      <c r="AR28" s="1198" t="str">
        <f t="shared" si="4"/>
        <v/>
      </c>
      <c r="AS28" s="1198" t="str">
        <f t="shared" si="5"/>
        <v/>
      </c>
      <c r="AT28" s="1198" t="str">
        <f t="shared" si="6"/>
        <v/>
      </c>
      <c r="AU28" s="1198" t="str">
        <f t="shared" si="7"/>
        <v/>
      </c>
      <c r="AV28" s="1198" t="str">
        <f t="shared" si="8"/>
        <v/>
      </c>
      <c r="AW28" s="1198" t="str">
        <f t="shared" si="9"/>
        <v/>
      </c>
      <c r="AX28" s="1198" t="str">
        <f t="shared" si="10"/>
        <v/>
      </c>
      <c r="AY28" s="1198" t="str">
        <f t="shared" si="11"/>
        <v/>
      </c>
      <c r="AZ28" s="1198" t="str">
        <f t="shared" si="12"/>
        <v/>
      </c>
      <c r="BA28" s="1198" t="str">
        <f t="shared" si="13"/>
        <v/>
      </c>
      <c r="BB28" s="1198" t="str">
        <f t="shared" si="14"/>
        <v/>
      </c>
      <c r="BC28" s="1198" t="str">
        <f t="shared" si="15"/>
        <v/>
      </c>
      <c r="BD28" s="1198" t="str">
        <f t="shared" si="16"/>
        <v/>
      </c>
      <c r="BE28" s="1198" t="str">
        <f t="shared" si="17"/>
        <v/>
      </c>
      <c r="BF28" s="1198" t="str">
        <f t="shared" si="18"/>
        <v/>
      </c>
      <c r="BG28" s="1198" t="str">
        <f t="shared" si="19"/>
        <v/>
      </c>
      <c r="BH28" s="1198" t="str">
        <f t="shared" si="20"/>
        <v/>
      </c>
      <c r="BI28" s="1198" t="str">
        <f t="shared" si="21"/>
        <v/>
      </c>
      <c r="BJ28" s="1198" t="str">
        <f t="shared" si="22"/>
        <v/>
      </c>
      <c r="BK28" s="1199" t="str">
        <f t="shared" si="23"/>
        <v/>
      </c>
      <c r="BL28" s="1199" t="str">
        <f t="shared" si="24"/>
        <v/>
      </c>
      <c r="BM28" s="1199" t="str">
        <f t="shared" si="25"/>
        <v/>
      </c>
      <c r="BN28" s="1199" t="str">
        <f t="shared" si="26"/>
        <v/>
      </c>
      <c r="BO28" s="1199" t="str">
        <f t="shared" si="27"/>
        <v/>
      </c>
      <c r="BP28" s="1199" t="str">
        <f t="shared" si="28"/>
        <v/>
      </c>
      <c r="BQ28" s="1198" t="str">
        <f t="shared" si="29"/>
        <v/>
      </c>
      <c r="BR28" s="1198" t="str">
        <f t="shared" si="30"/>
        <v/>
      </c>
      <c r="BS28" s="1198" t="str">
        <f t="shared" si="31"/>
        <v/>
      </c>
      <c r="BT28" s="1198" t="str">
        <f t="shared" si="32"/>
        <v/>
      </c>
      <c r="BU28" s="1198" t="str">
        <f t="shared" si="33"/>
        <v/>
      </c>
      <c r="BV28" s="3"/>
      <c r="BW28" s="1172">
        <v>98</v>
      </c>
      <c r="BX28" s="1173" t="s">
        <v>178</v>
      </c>
      <c r="BY28" s="1173"/>
      <c r="BZ28" s="1176">
        <v>0.24</v>
      </c>
      <c r="CA28" s="1176">
        <v>0.36</v>
      </c>
      <c r="CB28" s="1176">
        <v>0.48</v>
      </c>
      <c r="CC28" s="1176">
        <v>0.72</v>
      </c>
      <c r="CD28" s="1176">
        <v>0.97</v>
      </c>
      <c r="CE28" s="1176">
        <v>1.21</v>
      </c>
      <c r="CF28" s="1176">
        <v>1.46</v>
      </c>
      <c r="CG28" s="1176">
        <v>1.94</v>
      </c>
      <c r="CH28" s="1176">
        <v>2.44</v>
      </c>
      <c r="CI28" s="1176">
        <v>2.94</v>
      </c>
      <c r="CJ28" s="1176">
        <v>3.91</v>
      </c>
      <c r="CK28" s="1175">
        <v>0</v>
      </c>
      <c r="CL28" s="1175">
        <v>0</v>
      </c>
      <c r="CM28" s="1175">
        <v>0</v>
      </c>
      <c r="CN28" s="1175">
        <v>0</v>
      </c>
      <c r="CO28" s="1175">
        <v>0</v>
      </c>
    </row>
    <row r="29" spans="1:93" s="769" customFormat="1" ht="15.75" customHeight="1" thickTop="1" thickBot="1" x14ac:dyDescent="0.35">
      <c r="A29" s="1205"/>
      <c r="C29" s="1167" t="str">
        <f>'Cálc. Sist. Extinção Automática'!E41</f>
        <v/>
      </c>
      <c r="D29" s="1168" t="str">
        <f>IF('Cálc. Sist. Extinção Automática'!F41="","",'Cálc. Sist. Extinção Automática'!F41)</f>
        <v/>
      </c>
      <c r="E29" s="1168" t="str">
        <f>IF('Cálc. Sist. Extinção Automática'!G41="","",'Cálc. Sist. Extinção Automática'!G41)</f>
        <v/>
      </c>
      <c r="F29" s="1169" t="str">
        <f>IF('Cálc. Sist. Extinção Automática'!AA41="","",'Cálc. Sist. Extinção Automática'!AA41)</f>
        <v/>
      </c>
      <c r="G29" s="1279" t="str">
        <f t="shared" si="35"/>
        <v/>
      </c>
      <c r="H29" s="1170"/>
      <c r="I29" s="1218" t="str">
        <f t="shared" si="34"/>
        <v/>
      </c>
      <c r="J29" s="1259"/>
      <c r="K29" s="1171"/>
      <c r="L29" s="1171"/>
      <c r="M29" s="1171"/>
      <c r="N29" s="1171"/>
      <c r="O29" s="1171"/>
      <c r="P29" s="1171"/>
      <c r="Q29" s="1171"/>
      <c r="R29" s="1171"/>
      <c r="S29" s="1171"/>
      <c r="T29" s="1171"/>
      <c r="U29" s="1171"/>
      <c r="V29" s="1171"/>
      <c r="W29" s="1171"/>
      <c r="X29" s="1171"/>
      <c r="Y29" s="1171"/>
      <c r="Z29" s="1171"/>
      <c r="AA29" s="1171"/>
      <c r="AB29" s="1171"/>
      <c r="AC29" s="1171"/>
      <c r="AD29" s="1171"/>
      <c r="AE29" s="1171"/>
      <c r="AF29" s="1171"/>
      <c r="AG29" s="1171"/>
      <c r="AH29" s="1171"/>
      <c r="AI29" s="1171"/>
      <c r="AJ29" s="1171"/>
      <c r="AK29" s="1171"/>
      <c r="AL29" s="1171"/>
      <c r="AM29" s="1171"/>
      <c r="AN29" s="1171"/>
      <c r="AO29" s="3"/>
      <c r="AP29" s="1212"/>
      <c r="AQ29" s="3"/>
      <c r="AR29" s="1198" t="str">
        <f t="shared" si="4"/>
        <v/>
      </c>
      <c r="AS29" s="1198" t="str">
        <f t="shared" si="5"/>
        <v/>
      </c>
      <c r="AT29" s="1198" t="str">
        <f t="shared" si="6"/>
        <v/>
      </c>
      <c r="AU29" s="1198" t="str">
        <f t="shared" si="7"/>
        <v/>
      </c>
      <c r="AV29" s="1198" t="str">
        <f t="shared" si="8"/>
        <v/>
      </c>
      <c r="AW29" s="1198" t="str">
        <f t="shared" si="9"/>
        <v/>
      </c>
      <c r="AX29" s="1198" t="str">
        <f t="shared" si="10"/>
        <v/>
      </c>
      <c r="AY29" s="1198" t="str">
        <f t="shared" si="11"/>
        <v/>
      </c>
      <c r="AZ29" s="1198" t="str">
        <f t="shared" si="12"/>
        <v/>
      </c>
      <c r="BA29" s="1198" t="str">
        <f t="shared" si="13"/>
        <v/>
      </c>
      <c r="BB29" s="1198" t="str">
        <f t="shared" si="14"/>
        <v/>
      </c>
      <c r="BC29" s="1198" t="str">
        <f t="shared" si="15"/>
        <v/>
      </c>
      <c r="BD29" s="1198" t="str">
        <f t="shared" si="16"/>
        <v/>
      </c>
      <c r="BE29" s="1198" t="str">
        <f t="shared" si="17"/>
        <v/>
      </c>
      <c r="BF29" s="1198" t="str">
        <f t="shared" si="18"/>
        <v/>
      </c>
      <c r="BG29" s="1198" t="str">
        <f t="shared" si="19"/>
        <v/>
      </c>
      <c r="BH29" s="1198" t="str">
        <f t="shared" si="20"/>
        <v/>
      </c>
      <c r="BI29" s="1198" t="str">
        <f t="shared" si="21"/>
        <v/>
      </c>
      <c r="BJ29" s="1198" t="str">
        <f t="shared" si="22"/>
        <v/>
      </c>
      <c r="BK29" s="1199" t="str">
        <f t="shared" si="23"/>
        <v/>
      </c>
      <c r="BL29" s="1199" t="str">
        <f t="shared" si="24"/>
        <v/>
      </c>
      <c r="BM29" s="1199" t="str">
        <f t="shared" si="25"/>
        <v/>
      </c>
      <c r="BN29" s="1199" t="str">
        <f t="shared" si="26"/>
        <v/>
      </c>
      <c r="BO29" s="1199" t="str">
        <f t="shared" si="27"/>
        <v/>
      </c>
      <c r="BP29" s="1199" t="str">
        <f t="shared" si="28"/>
        <v/>
      </c>
      <c r="BQ29" s="1198" t="str">
        <f t="shared" si="29"/>
        <v/>
      </c>
      <c r="BR29" s="1198" t="str">
        <f t="shared" si="30"/>
        <v/>
      </c>
      <c r="BS29" s="1198" t="str">
        <f t="shared" si="31"/>
        <v/>
      </c>
      <c r="BT29" s="1198" t="str">
        <f t="shared" si="32"/>
        <v/>
      </c>
      <c r="BU29" s="1198" t="str">
        <f t="shared" si="33"/>
        <v/>
      </c>
      <c r="BV29" s="3"/>
      <c r="BW29" s="1172">
        <v>120</v>
      </c>
      <c r="BX29" s="1173" t="s">
        <v>179</v>
      </c>
      <c r="BY29" s="1173"/>
      <c r="BZ29" s="1175">
        <v>0</v>
      </c>
      <c r="CA29" s="1176">
        <v>0.16</v>
      </c>
      <c r="CB29" s="1176">
        <v>0.22</v>
      </c>
      <c r="CC29" s="1176">
        <v>0.32</v>
      </c>
      <c r="CD29" s="1176">
        <v>0.43</v>
      </c>
      <c r="CE29" s="1176">
        <v>0.54</v>
      </c>
      <c r="CF29" s="1176">
        <v>0.65</v>
      </c>
      <c r="CG29" s="1176">
        <v>0.86</v>
      </c>
      <c r="CH29" s="1176">
        <v>1.08</v>
      </c>
      <c r="CI29" s="1176">
        <v>1.3</v>
      </c>
      <c r="CJ29" s="1176">
        <v>1.73</v>
      </c>
      <c r="CK29" s="1176">
        <v>2.16</v>
      </c>
      <c r="CL29" s="1176">
        <v>2.59</v>
      </c>
      <c r="CM29" s="1175">
        <v>0</v>
      </c>
      <c r="CN29" s="1175">
        <v>0</v>
      </c>
      <c r="CO29" s="1175">
        <v>0</v>
      </c>
    </row>
    <row r="30" spans="1:93" s="769" customFormat="1" ht="15.75" customHeight="1" thickTop="1" thickBot="1" x14ac:dyDescent="0.35">
      <c r="A30" s="1205"/>
      <c r="C30" s="1167" t="str">
        <f>'Cálc. Sist. Extinção Automática'!E42</f>
        <v/>
      </c>
      <c r="D30" s="1168" t="str">
        <f>IF('Cálc. Sist. Extinção Automática'!F42="","",'Cálc. Sist. Extinção Automática'!F42)</f>
        <v/>
      </c>
      <c r="E30" s="1168" t="str">
        <f>IF('Cálc. Sist. Extinção Automática'!G42="","",'Cálc. Sist. Extinção Automática'!G42)</f>
        <v/>
      </c>
      <c r="F30" s="1169" t="str">
        <f>IF('Cálc. Sist. Extinção Automática'!AA42="","",'Cálc. Sist. Extinção Automática'!AA42)</f>
        <v/>
      </c>
      <c r="G30" s="1279" t="str">
        <f t="shared" si="35"/>
        <v/>
      </c>
      <c r="H30" s="1170"/>
      <c r="I30" s="1218" t="str">
        <f t="shared" si="34"/>
        <v/>
      </c>
      <c r="J30" s="1259"/>
      <c r="K30" s="1171"/>
      <c r="L30" s="1171"/>
      <c r="M30" s="1171"/>
      <c r="N30" s="1171"/>
      <c r="O30" s="1171"/>
      <c r="P30" s="1171"/>
      <c r="Q30" s="1171"/>
      <c r="R30" s="1171"/>
      <c r="S30" s="1171"/>
      <c r="T30" s="1171"/>
      <c r="U30" s="1171"/>
      <c r="V30" s="1171"/>
      <c r="W30" s="1171"/>
      <c r="X30" s="1171"/>
      <c r="Y30" s="1171"/>
      <c r="Z30" s="1171"/>
      <c r="AA30" s="1171"/>
      <c r="AB30" s="1171"/>
      <c r="AC30" s="1171"/>
      <c r="AD30" s="1171"/>
      <c r="AE30" s="1171"/>
      <c r="AF30" s="1171"/>
      <c r="AG30" s="1171"/>
      <c r="AH30" s="1171"/>
      <c r="AI30" s="1171"/>
      <c r="AJ30" s="1171"/>
      <c r="AK30" s="1171"/>
      <c r="AL30" s="1171"/>
      <c r="AM30" s="1171"/>
      <c r="AN30" s="1171"/>
      <c r="AO30" s="3"/>
      <c r="AP30" s="1212"/>
      <c r="AQ30" s="3"/>
      <c r="AR30" s="1198" t="str">
        <f t="shared" si="4"/>
        <v/>
      </c>
      <c r="AS30" s="1198" t="str">
        <f t="shared" si="5"/>
        <v/>
      </c>
      <c r="AT30" s="1198" t="str">
        <f t="shared" si="6"/>
        <v/>
      </c>
      <c r="AU30" s="1198" t="str">
        <f t="shared" si="7"/>
        <v/>
      </c>
      <c r="AV30" s="1198" t="str">
        <f t="shared" si="8"/>
        <v/>
      </c>
      <c r="AW30" s="1198" t="str">
        <f t="shared" si="9"/>
        <v/>
      </c>
      <c r="AX30" s="1198" t="str">
        <f t="shared" si="10"/>
        <v/>
      </c>
      <c r="AY30" s="1198" t="str">
        <f t="shared" si="11"/>
        <v/>
      </c>
      <c r="AZ30" s="1198" t="str">
        <f t="shared" si="12"/>
        <v/>
      </c>
      <c r="BA30" s="1198" t="str">
        <f t="shared" si="13"/>
        <v/>
      </c>
      <c r="BB30" s="1198" t="str">
        <f t="shared" si="14"/>
        <v/>
      </c>
      <c r="BC30" s="1198" t="str">
        <f t="shared" si="15"/>
        <v/>
      </c>
      <c r="BD30" s="1198" t="str">
        <f t="shared" si="16"/>
        <v/>
      </c>
      <c r="BE30" s="1198" t="str">
        <f t="shared" si="17"/>
        <v/>
      </c>
      <c r="BF30" s="1198" t="str">
        <f t="shared" si="18"/>
        <v/>
      </c>
      <c r="BG30" s="1198" t="str">
        <f t="shared" si="19"/>
        <v/>
      </c>
      <c r="BH30" s="1198" t="str">
        <f t="shared" si="20"/>
        <v/>
      </c>
      <c r="BI30" s="1198" t="str">
        <f t="shared" si="21"/>
        <v/>
      </c>
      <c r="BJ30" s="1198" t="str">
        <f t="shared" si="22"/>
        <v/>
      </c>
      <c r="BK30" s="1199" t="str">
        <f t="shared" si="23"/>
        <v/>
      </c>
      <c r="BL30" s="1199" t="str">
        <f t="shared" si="24"/>
        <v/>
      </c>
      <c r="BM30" s="1199" t="str">
        <f t="shared" si="25"/>
        <v/>
      </c>
      <c r="BN30" s="1199" t="str">
        <f t="shared" si="26"/>
        <v/>
      </c>
      <c r="BO30" s="1199" t="str">
        <f t="shared" si="27"/>
        <v/>
      </c>
      <c r="BP30" s="1199" t="str">
        <f t="shared" si="28"/>
        <v/>
      </c>
      <c r="BQ30" s="1198" t="str">
        <f t="shared" si="29"/>
        <v/>
      </c>
      <c r="BR30" s="1198" t="str">
        <f t="shared" si="30"/>
        <v/>
      </c>
      <c r="BS30" s="1198" t="str">
        <f t="shared" si="31"/>
        <v/>
      </c>
      <c r="BT30" s="1198" t="str">
        <f t="shared" si="32"/>
        <v/>
      </c>
      <c r="BU30" s="1198" t="str">
        <f t="shared" si="33"/>
        <v/>
      </c>
      <c r="BV30" s="3"/>
      <c r="BW30" s="1172">
        <v>121</v>
      </c>
      <c r="BX30" s="1173" t="s">
        <v>180</v>
      </c>
      <c r="BY30" s="1173"/>
      <c r="BZ30" s="1175">
        <v>0</v>
      </c>
      <c r="CA30" s="1176">
        <v>0.16</v>
      </c>
      <c r="CB30" s="1176">
        <v>0.22</v>
      </c>
      <c r="CC30" s="1176">
        <v>0.32</v>
      </c>
      <c r="CD30" s="1176">
        <v>0.43</v>
      </c>
      <c r="CE30" s="1176">
        <v>0.54</v>
      </c>
      <c r="CF30" s="1176">
        <v>0.65</v>
      </c>
      <c r="CG30" s="1176">
        <v>0.86</v>
      </c>
      <c r="CH30" s="1176">
        <v>1.08</v>
      </c>
      <c r="CI30" s="1176">
        <v>1.3</v>
      </c>
      <c r="CJ30" s="1176">
        <v>1.73</v>
      </c>
      <c r="CK30" s="1176">
        <v>2.16</v>
      </c>
      <c r="CL30" s="1176">
        <v>2.59</v>
      </c>
      <c r="CM30" s="1175">
        <v>0</v>
      </c>
      <c r="CN30" s="1175">
        <v>0</v>
      </c>
      <c r="CO30" s="1175">
        <v>0</v>
      </c>
    </row>
    <row r="31" spans="1:93" s="769" customFormat="1" ht="15.75" customHeight="1" thickTop="1" thickBot="1" x14ac:dyDescent="0.35">
      <c r="A31" s="1205"/>
      <c r="C31" s="1167" t="str">
        <f>'Cálc. Sist. Extinção Automática'!E43</f>
        <v/>
      </c>
      <c r="D31" s="1168" t="str">
        <f>IF('Cálc. Sist. Extinção Automática'!F43="","",'Cálc. Sist. Extinção Automática'!F43)</f>
        <v/>
      </c>
      <c r="E31" s="1168" t="str">
        <f>IF('Cálc. Sist. Extinção Automática'!G43="","",'Cálc. Sist. Extinção Automática'!G43)</f>
        <v/>
      </c>
      <c r="F31" s="1169" t="str">
        <f>IF('Cálc. Sist. Extinção Automática'!AA43="","",'Cálc. Sist. Extinção Automática'!AA43)</f>
        <v/>
      </c>
      <c r="G31" s="1279" t="str">
        <f t="shared" si="35"/>
        <v/>
      </c>
      <c r="H31" s="1170"/>
      <c r="I31" s="1218" t="str">
        <f t="shared" si="34"/>
        <v/>
      </c>
      <c r="J31" s="1259"/>
      <c r="K31" s="1171"/>
      <c r="L31" s="1171"/>
      <c r="M31" s="1171"/>
      <c r="N31" s="1171"/>
      <c r="O31" s="1171"/>
      <c r="P31" s="1171"/>
      <c r="Q31" s="1171"/>
      <c r="R31" s="1171"/>
      <c r="S31" s="1171"/>
      <c r="T31" s="1171"/>
      <c r="U31" s="1171"/>
      <c r="V31" s="1171"/>
      <c r="W31" s="1171"/>
      <c r="X31" s="1171"/>
      <c r="Y31" s="1171"/>
      <c r="Z31" s="1171"/>
      <c r="AA31" s="1171"/>
      <c r="AB31" s="1171"/>
      <c r="AC31" s="1171"/>
      <c r="AD31" s="1171"/>
      <c r="AE31" s="1171"/>
      <c r="AF31" s="1171"/>
      <c r="AG31" s="1171"/>
      <c r="AH31" s="1171"/>
      <c r="AI31" s="1171"/>
      <c r="AJ31" s="1171"/>
      <c r="AK31" s="1171"/>
      <c r="AL31" s="1171"/>
      <c r="AM31" s="1171"/>
      <c r="AN31" s="1171"/>
      <c r="AO31" s="3"/>
      <c r="AP31" s="1212"/>
      <c r="AQ31" s="3"/>
      <c r="AR31" s="1198" t="str">
        <f t="shared" si="4"/>
        <v/>
      </c>
      <c r="AS31" s="1198" t="str">
        <f t="shared" si="5"/>
        <v/>
      </c>
      <c r="AT31" s="1198" t="str">
        <f t="shared" si="6"/>
        <v/>
      </c>
      <c r="AU31" s="1198" t="str">
        <f t="shared" si="7"/>
        <v/>
      </c>
      <c r="AV31" s="1198" t="str">
        <f t="shared" si="8"/>
        <v/>
      </c>
      <c r="AW31" s="1198" t="str">
        <f t="shared" si="9"/>
        <v/>
      </c>
      <c r="AX31" s="1198" t="str">
        <f t="shared" si="10"/>
        <v/>
      </c>
      <c r="AY31" s="1198" t="str">
        <f t="shared" si="11"/>
        <v/>
      </c>
      <c r="AZ31" s="1198" t="str">
        <f t="shared" si="12"/>
        <v/>
      </c>
      <c r="BA31" s="1198" t="str">
        <f t="shared" si="13"/>
        <v/>
      </c>
      <c r="BB31" s="1198" t="str">
        <f t="shared" si="14"/>
        <v/>
      </c>
      <c r="BC31" s="1198" t="str">
        <f t="shared" si="15"/>
        <v/>
      </c>
      <c r="BD31" s="1198" t="str">
        <f t="shared" si="16"/>
        <v/>
      </c>
      <c r="BE31" s="1198" t="str">
        <f t="shared" si="17"/>
        <v/>
      </c>
      <c r="BF31" s="1198" t="str">
        <f t="shared" si="18"/>
        <v/>
      </c>
      <c r="BG31" s="1198" t="str">
        <f t="shared" si="19"/>
        <v/>
      </c>
      <c r="BH31" s="1198" t="str">
        <f t="shared" si="20"/>
        <v/>
      </c>
      <c r="BI31" s="1198" t="str">
        <f t="shared" si="21"/>
        <v/>
      </c>
      <c r="BJ31" s="1198" t="str">
        <f t="shared" si="22"/>
        <v/>
      </c>
      <c r="BK31" s="1199" t="str">
        <f t="shared" si="23"/>
        <v/>
      </c>
      <c r="BL31" s="1199" t="str">
        <f t="shared" si="24"/>
        <v/>
      </c>
      <c r="BM31" s="1199" t="str">
        <f t="shared" si="25"/>
        <v/>
      </c>
      <c r="BN31" s="1199" t="str">
        <f t="shared" si="26"/>
        <v/>
      </c>
      <c r="BO31" s="1199" t="str">
        <f t="shared" si="27"/>
        <v/>
      </c>
      <c r="BP31" s="1199" t="str">
        <f t="shared" si="28"/>
        <v/>
      </c>
      <c r="BQ31" s="1198" t="str">
        <f t="shared" si="29"/>
        <v/>
      </c>
      <c r="BR31" s="1198" t="str">
        <f t="shared" si="30"/>
        <v/>
      </c>
      <c r="BS31" s="1198" t="str">
        <f t="shared" si="31"/>
        <v/>
      </c>
      <c r="BT31" s="1198" t="str">
        <f t="shared" si="32"/>
        <v/>
      </c>
      <c r="BU31" s="1198" t="str">
        <f t="shared" si="33"/>
        <v/>
      </c>
      <c r="BV31" s="3"/>
      <c r="BW31" s="1177">
        <v>130</v>
      </c>
      <c r="BX31" s="1178" t="s">
        <v>181</v>
      </c>
      <c r="BY31" s="1173"/>
      <c r="BZ31" s="1176">
        <v>0.04</v>
      </c>
      <c r="CA31" s="1176">
        <v>0.06</v>
      </c>
      <c r="CB31" s="1176">
        <v>0.08</v>
      </c>
      <c r="CC31" s="1176">
        <v>0.12</v>
      </c>
      <c r="CD31" s="1176">
        <v>0.17</v>
      </c>
      <c r="CE31" s="1176">
        <v>0.21</v>
      </c>
      <c r="CF31" s="1176">
        <v>0.25</v>
      </c>
      <c r="CG31" s="1176">
        <v>0.33</v>
      </c>
      <c r="CH31" s="1176">
        <v>0.41</v>
      </c>
      <c r="CI31" s="1176">
        <v>0.5</v>
      </c>
      <c r="CJ31" s="1176">
        <v>0.66</v>
      </c>
      <c r="CK31" s="1176">
        <v>0.83</v>
      </c>
      <c r="CL31" s="1176">
        <v>0.99</v>
      </c>
      <c r="CM31" s="1175">
        <v>0</v>
      </c>
      <c r="CN31" s="1175">
        <v>0</v>
      </c>
      <c r="CO31" s="1175">
        <v>0</v>
      </c>
    </row>
    <row r="32" spans="1:93" s="769" customFormat="1" ht="15.75" customHeight="1" thickTop="1" thickBot="1" x14ac:dyDescent="0.35">
      <c r="A32" s="1205"/>
      <c r="C32" s="1167" t="str">
        <f>'Cálc. Sist. Extinção Automática'!E44</f>
        <v/>
      </c>
      <c r="D32" s="1168" t="str">
        <f>IF('Cálc. Sist. Extinção Automática'!F44="","",'Cálc. Sist. Extinção Automática'!F44)</f>
        <v/>
      </c>
      <c r="E32" s="1168" t="str">
        <f>IF('Cálc. Sist. Extinção Automática'!G44="","",'Cálc. Sist. Extinção Automática'!G44)</f>
        <v/>
      </c>
      <c r="F32" s="1169" t="str">
        <f>IF('Cálc. Sist. Extinção Automática'!AA44="","",'Cálc. Sist. Extinção Automática'!AA44)</f>
        <v/>
      </c>
      <c r="G32" s="1279" t="str">
        <f t="shared" si="35"/>
        <v/>
      </c>
      <c r="H32" s="1170"/>
      <c r="I32" s="1218" t="str">
        <f t="shared" si="34"/>
        <v/>
      </c>
      <c r="J32" s="1259"/>
      <c r="K32" s="1171"/>
      <c r="L32" s="1171"/>
      <c r="M32" s="1171"/>
      <c r="N32" s="1171"/>
      <c r="O32" s="1171"/>
      <c r="P32" s="1171"/>
      <c r="Q32" s="1171"/>
      <c r="R32" s="1171"/>
      <c r="S32" s="1171"/>
      <c r="T32" s="1171"/>
      <c r="U32" s="1171"/>
      <c r="V32" s="1171"/>
      <c r="W32" s="1171"/>
      <c r="X32" s="1171"/>
      <c r="Y32" s="1171"/>
      <c r="Z32" s="1171"/>
      <c r="AA32" s="1171"/>
      <c r="AB32" s="1171"/>
      <c r="AC32" s="1171"/>
      <c r="AD32" s="1171"/>
      <c r="AE32" s="1171"/>
      <c r="AF32" s="1171"/>
      <c r="AG32" s="1171"/>
      <c r="AH32" s="1171"/>
      <c r="AI32" s="1171"/>
      <c r="AJ32" s="1171"/>
      <c r="AK32" s="1171"/>
      <c r="AL32" s="1171"/>
      <c r="AM32" s="1171"/>
      <c r="AN32" s="1171"/>
      <c r="AO32" s="3"/>
      <c r="AP32" s="1212"/>
      <c r="AQ32" s="3"/>
      <c r="AR32" s="1198" t="str">
        <f t="shared" si="4"/>
        <v/>
      </c>
      <c r="AS32" s="1198" t="str">
        <f t="shared" si="5"/>
        <v/>
      </c>
      <c r="AT32" s="1198" t="str">
        <f t="shared" si="6"/>
        <v/>
      </c>
      <c r="AU32" s="1198" t="str">
        <f t="shared" si="7"/>
        <v/>
      </c>
      <c r="AV32" s="1198" t="str">
        <f t="shared" si="8"/>
        <v/>
      </c>
      <c r="AW32" s="1198" t="str">
        <f t="shared" si="9"/>
        <v/>
      </c>
      <c r="AX32" s="1198" t="str">
        <f t="shared" si="10"/>
        <v/>
      </c>
      <c r="AY32" s="1198" t="str">
        <f t="shared" si="11"/>
        <v/>
      </c>
      <c r="AZ32" s="1198" t="str">
        <f t="shared" si="12"/>
        <v/>
      </c>
      <c r="BA32" s="1198" t="str">
        <f t="shared" si="13"/>
        <v/>
      </c>
      <c r="BB32" s="1198" t="str">
        <f t="shared" si="14"/>
        <v/>
      </c>
      <c r="BC32" s="1198" t="str">
        <f t="shared" si="15"/>
        <v/>
      </c>
      <c r="BD32" s="1198" t="str">
        <f t="shared" si="16"/>
        <v/>
      </c>
      <c r="BE32" s="1198" t="str">
        <f t="shared" si="17"/>
        <v/>
      </c>
      <c r="BF32" s="1198" t="str">
        <f t="shared" si="18"/>
        <v/>
      </c>
      <c r="BG32" s="1198" t="str">
        <f t="shared" si="19"/>
        <v/>
      </c>
      <c r="BH32" s="1198" t="str">
        <f t="shared" si="20"/>
        <v/>
      </c>
      <c r="BI32" s="1198" t="str">
        <f t="shared" si="21"/>
        <v/>
      </c>
      <c r="BJ32" s="1198" t="str">
        <f t="shared" si="22"/>
        <v/>
      </c>
      <c r="BK32" s="1199" t="str">
        <f t="shared" si="23"/>
        <v/>
      </c>
      <c r="BL32" s="1199" t="str">
        <f t="shared" si="24"/>
        <v/>
      </c>
      <c r="BM32" s="1199" t="str">
        <f t="shared" si="25"/>
        <v/>
      </c>
      <c r="BN32" s="1199" t="str">
        <f t="shared" si="26"/>
        <v/>
      </c>
      <c r="BO32" s="1199" t="str">
        <f t="shared" si="27"/>
        <v/>
      </c>
      <c r="BP32" s="1199" t="str">
        <f t="shared" si="28"/>
        <v/>
      </c>
      <c r="BQ32" s="1198" t="str">
        <f t="shared" si="29"/>
        <v/>
      </c>
      <c r="BR32" s="1198" t="str">
        <f t="shared" si="30"/>
        <v/>
      </c>
      <c r="BS32" s="1198" t="str">
        <f t="shared" si="31"/>
        <v/>
      </c>
      <c r="BT32" s="1198" t="str">
        <f t="shared" si="32"/>
        <v/>
      </c>
      <c r="BU32" s="1198" t="str">
        <f t="shared" si="33"/>
        <v/>
      </c>
      <c r="BV32" s="3"/>
      <c r="BW32" s="1179"/>
      <c r="BX32" s="1180"/>
      <c r="BY32" s="1173"/>
      <c r="BZ32" s="1176">
        <v>0.34</v>
      </c>
      <c r="CA32" s="1176">
        <v>0.51</v>
      </c>
      <c r="CB32" s="1176">
        <v>0.69</v>
      </c>
      <c r="CC32" s="1176">
        <v>1.03</v>
      </c>
      <c r="CD32" s="1176">
        <v>1.37</v>
      </c>
      <c r="CE32" s="1176">
        <v>1.71</v>
      </c>
      <c r="CF32" s="1176">
        <v>2.06</v>
      </c>
      <c r="CG32" s="1176">
        <v>2.74</v>
      </c>
      <c r="CH32" s="1176">
        <v>3.43</v>
      </c>
      <c r="CI32" s="1176">
        <v>4.1100000000000003</v>
      </c>
      <c r="CJ32" s="1176">
        <v>5.49</v>
      </c>
      <c r="CK32" s="1176">
        <v>6.86</v>
      </c>
      <c r="CL32" s="1176">
        <v>8.23</v>
      </c>
      <c r="CM32" s="1175">
        <v>0</v>
      </c>
      <c r="CN32" s="1175">
        <v>0</v>
      </c>
      <c r="CO32" s="1175">
        <v>0</v>
      </c>
    </row>
    <row r="33" spans="1:93" s="769" customFormat="1" ht="15.75" customHeight="1" thickTop="1" thickBot="1" x14ac:dyDescent="0.35">
      <c r="A33" s="1205"/>
      <c r="C33" s="1167" t="str">
        <f>'Cálc. Sist. Extinção Automática'!E45</f>
        <v/>
      </c>
      <c r="D33" s="1168" t="str">
        <f>IF('Cálc. Sist. Extinção Automática'!F45="","",'Cálc. Sist. Extinção Automática'!F45)</f>
        <v/>
      </c>
      <c r="E33" s="1168" t="str">
        <f>IF('Cálc. Sist. Extinção Automática'!G45="","",'Cálc. Sist. Extinção Automática'!G45)</f>
        <v/>
      </c>
      <c r="F33" s="1169" t="str">
        <f>IF('Cálc. Sist. Extinção Automática'!AA45="","",'Cálc. Sist. Extinção Automática'!AA45)</f>
        <v/>
      </c>
      <c r="G33" s="1279" t="str">
        <f t="shared" si="35"/>
        <v/>
      </c>
      <c r="H33" s="1170"/>
      <c r="I33" s="1218" t="str">
        <f t="shared" si="34"/>
        <v/>
      </c>
      <c r="J33" s="1259"/>
      <c r="K33" s="1171"/>
      <c r="L33" s="1171"/>
      <c r="M33" s="1171"/>
      <c r="N33" s="1171"/>
      <c r="O33" s="1171"/>
      <c r="P33" s="1171"/>
      <c r="Q33" s="1171"/>
      <c r="R33" s="1171"/>
      <c r="S33" s="1171"/>
      <c r="T33" s="1171"/>
      <c r="U33" s="1171"/>
      <c r="V33" s="1171"/>
      <c r="W33" s="1171"/>
      <c r="X33" s="1171"/>
      <c r="Y33" s="1171"/>
      <c r="Z33" s="1171"/>
      <c r="AA33" s="1171"/>
      <c r="AB33" s="1171"/>
      <c r="AC33" s="1171"/>
      <c r="AD33" s="1171"/>
      <c r="AE33" s="1171"/>
      <c r="AF33" s="1171"/>
      <c r="AG33" s="1171"/>
      <c r="AH33" s="1171"/>
      <c r="AI33" s="1171"/>
      <c r="AJ33" s="1171"/>
      <c r="AK33" s="1171"/>
      <c r="AL33" s="1171"/>
      <c r="AM33" s="1171"/>
      <c r="AN33" s="1171"/>
      <c r="AO33" s="3"/>
      <c r="AP33" s="1212"/>
      <c r="AQ33" s="3"/>
      <c r="AR33" s="1198" t="str">
        <f t="shared" si="4"/>
        <v/>
      </c>
      <c r="AS33" s="1198" t="str">
        <f t="shared" si="5"/>
        <v/>
      </c>
      <c r="AT33" s="1198" t="str">
        <f t="shared" si="6"/>
        <v/>
      </c>
      <c r="AU33" s="1198" t="str">
        <f t="shared" si="7"/>
        <v/>
      </c>
      <c r="AV33" s="1198" t="str">
        <f t="shared" si="8"/>
        <v/>
      </c>
      <c r="AW33" s="1198" t="str">
        <f t="shared" si="9"/>
        <v/>
      </c>
      <c r="AX33" s="1198" t="str">
        <f t="shared" si="10"/>
        <v/>
      </c>
      <c r="AY33" s="1198" t="str">
        <f t="shared" si="11"/>
        <v/>
      </c>
      <c r="AZ33" s="1198" t="str">
        <f t="shared" si="12"/>
        <v/>
      </c>
      <c r="BA33" s="1198" t="str">
        <f t="shared" si="13"/>
        <v/>
      </c>
      <c r="BB33" s="1198" t="str">
        <f t="shared" si="14"/>
        <v/>
      </c>
      <c r="BC33" s="1198" t="str">
        <f t="shared" si="15"/>
        <v/>
      </c>
      <c r="BD33" s="1198" t="str">
        <f t="shared" si="16"/>
        <v/>
      </c>
      <c r="BE33" s="1198" t="str">
        <f t="shared" si="17"/>
        <v/>
      </c>
      <c r="BF33" s="1198" t="str">
        <f t="shared" si="18"/>
        <v/>
      </c>
      <c r="BG33" s="1198" t="str">
        <f t="shared" si="19"/>
        <v/>
      </c>
      <c r="BH33" s="1198" t="str">
        <f t="shared" si="20"/>
        <v/>
      </c>
      <c r="BI33" s="1198" t="str">
        <f t="shared" si="21"/>
        <v/>
      </c>
      <c r="BJ33" s="1198" t="str">
        <f t="shared" si="22"/>
        <v/>
      </c>
      <c r="BK33" s="1199" t="str">
        <f t="shared" si="23"/>
        <v/>
      </c>
      <c r="BL33" s="1199" t="str">
        <f t="shared" si="24"/>
        <v/>
      </c>
      <c r="BM33" s="1199" t="str">
        <f t="shared" si="25"/>
        <v/>
      </c>
      <c r="BN33" s="1199" t="str">
        <f t="shared" si="26"/>
        <v/>
      </c>
      <c r="BO33" s="1199" t="str">
        <f t="shared" si="27"/>
        <v/>
      </c>
      <c r="BP33" s="1199" t="str">
        <f t="shared" si="28"/>
        <v/>
      </c>
      <c r="BQ33" s="1198" t="str">
        <f t="shared" si="29"/>
        <v/>
      </c>
      <c r="BR33" s="1198" t="str">
        <f t="shared" si="30"/>
        <v/>
      </c>
      <c r="BS33" s="1198" t="str">
        <f t="shared" si="31"/>
        <v/>
      </c>
      <c r="BT33" s="1198" t="str">
        <f t="shared" si="32"/>
        <v/>
      </c>
      <c r="BU33" s="1198" t="str">
        <f t="shared" si="33"/>
        <v/>
      </c>
      <c r="BV33" s="3"/>
      <c r="BW33" s="1181"/>
      <c r="BX33" s="1174"/>
      <c r="BY33" s="1173"/>
      <c r="BZ33" s="1176">
        <v>0.42</v>
      </c>
      <c r="CA33" s="1176">
        <v>0.62</v>
      </c>
      <c r="CB33" s="1176">
        <v>0.83</v>
      </c>
      <c r="CC33" s="1176">
        <v>1.25</v>
      </c>
      <c r="CD33" s="1176">
        <v>1.66</v>
      </c>
      <c r="CE33" s="1176">
        <v>2.08</v>
      </c>
      <c r="CF33" s="1176">
        <v>2.5</v>
      </c>
      <c r="CG33" s="1176">
        <v>3.33</v>
      </c>
      <c r="CH33" s="1176">
        <v>4.16</v>
      </c>
      <c r="CI33" s="1176">
        <v>4.99</v>
      </c>
      <c r="CJ33" s="1176">
        <v>6.65</v>
      </c>
      <c r="CK33" s="1176">
        <v>8.32</v>
      </c>
      <c r="CL33" s="1176">
        <v>9.98</v>
      </c>
      <c r="CM33" s="1175">
        <v>0</v>
      </c>
      <c r="CN33" s="1175">
        <v>0</v>
      </c>
      <c r="CO33" s="1175">
        <v>0</v>
      </c>
    </row>
    <row r="34" spans="1:93" s="769" customFormat="1" ht="15.75" customHeight="1" thickTop="1" thickBot="1" x14ac:dyDescent="0.35">
      <c r="A34" s="1205"/>
      <c r="C34" s="1167" t="str">
        <f>'Cálc. Sist. Extinção Automática'!E46</f>
        <v/>
      </c>
      <c r="D34" s="1168" t="str">
        <f>IF('Cálc. Sist. Extinção Automática'!F46="","",'Cálc. Sist. Extinção Automática'!F46)</f>
        <v/>
      </c>
      <c r="E34" s="1168" t="str">
        <f>IF('Cálc. Sist. Extinção Automática'!G46="","",'Cálc. Sist. Extinção Automática'!G46)</f>
        <v/>
      </c>
      <c r="F34" s="1169" t="str">
        <f>IF('Cálc. Sist. Extinção Automática'!AA46="","",'Cálc. Sist. Extinção Automática'!AA46)</f>
        <v/>
      </c>
      <c r="G34" s="1279" t="str">
        <f t="shared" si="35"/>
        <v/>
      </c>
      <c r="H34" s="1170"/>
      <c r="I34" s="1218" t="str">
        <f t="shared" si="34"/>
        <v/>
      </c>
      <c r="J34" s="1259"/>
      <c r="K34" s="1171"/>
      <c r="L34" s="1171"/>
      <c r="M34" s="1171"/>
      <c r="N34" s="1171"/>
      <c r="O34" s="1171"/>
      <c r="P34" s="1171"/>
      <c r="Q34" s="1171"/>
      <c r="R34" s="1171"/>
      <c r="S34" s="1171"/>
      <c r="T34" s="1171"/>
      <c r="U34" s="1171"/>
      <c r="V34" s="1171"/>
      <c r="W34" s="1171"/>
      <c r="X34" s="1171"/>
      <c r="Y34" s="1171"/>
      <c r="Z34" s="1171"/>
      <c r="AA34" s="1171"/>
      <c r="AB34" s="1171"/>
      <c r="AC34" s="1171"/>
      <c r="AD34" s="1171"/>
      <c r="AE34" s="1171"/>
      <c r="AF34" s="1171"/>
      <c r="AG34" s="1171"/>
      <c r="AH34" s="1171"/>
      <c r="AI34" s="1171"/>
      <c r="AJ34" s="1171"/>
      <c r="AK34" s="1171"/>
      <c r="AL34" s="1171"/>
      <c r="AM34" s="1171"/>
      <c r="AN34" s="1171"/>
      <c r="AO34" s="3"/>
      <c r="AP34" s="1212"/>
      <c r="AQ34" s="3"/>
      <c r="AR34" s="1198" t="str">
        <f t="shared" si="4"/>
        <v/>
      </c>
      <c r="AS34" s="1198" t="str">
        <f t="shared" si="5"/>
        <v/>
      </c>
      <c r="AT34" s="1198" t="str">
        <f t="shared" si="6"/>
        <v/>
      </c>
      <c r="AU34" s="1198" t="str">
        <f t="shared" si="7"/>
        <v/>
      </c>
      <c r="AV34" s="1198" t="str">
        <f t="shared" si="8"/>
        <v/>
      </c>
      <c r="AW34" s="1198" t="str">
        <f t="shared" si="9"/>
        <v/>
      </c>
      <c r="AX34" s="1198" t="str">
        <f t="shared" si="10"/>
        <v/>
      </c>
      <c r="AY34" s="1198" t="str">
        <f t="shared" si="11"/>
        <v/>
      </c>
      <c r="AZ34" s="1198" t="str">
        <f t="shared" si="12"/>
        <v/>
      </c>
      <c r="BA34" s="1198" t="str">
        <f t="shared" si="13"/>
        <v/>
      </c>
      <c r="BB34" s="1198" t="str">
        <f t="shared" si="14"/>
        <v/>
      </c>
      <c r="BC34" s="1198" t="str">
        <f t="shared" si="15"/>
        <v/>
      </c>
      <c r="BD34" s="1198" t="str">
        <f t="shared" si="16"/>
        <v/>
      </c>
      <c r="BE34" s="1198" t="str">
        <f t="shared" si="17"/>
        <v/>
      </c>
      <c r="BF34" s="1198" t="str">
        <f t="shared" si="18"/>
        <v/>
      </c>
      <c r="BG34" s="1198" t="str">
        <f t="shared" si="19"/>
        <v/>
      </c>
      <c r="BH34" s="1198" t="str">
        <f t="shared" si="20"/>
        <v/>
      </c>
      <c r="BI34" s="1198" t="str">
        <f t="shared" si="21"/>
        <v/>
      </c>
      <c r="BJ34" s="1198" t="str">
        <f t="shared" si="22"/>
        <v/>
      </c>
      <c r="BK34" s="1199" t="str">
        <f t="shared" si="23"/>
        <v/>
      </c>
      <c r="BL34" s="1199" t="str">
        <f t="shared" si="24"/>
        <v/>
      </c>
      <c r="BM34" s="1199" t="str">
        <f t="shared" si="25"/>
        <v/>
      </c>
      <c r="BN34" s="1199" t="str">
        <f t="shared" si="26"/>
        <v/>
      </c>
      <c r="BO34" s="1199" t="str">
        <f t="shared" si="27"/>
        <v/>
      </c>
      <c r="BP34" s="1199" t="str">
        <f t="shared" si="28"/>
        <v/>
      </c>
      <c r="BQ34" s="1198" t="str">
        <f t="shared" si="29"/>
        <v/>
      </c>
      <c r="BR34" s="1198" t="str">
        <f t="shared" si="30"/>
        <v/>
      </c>
      <c r="BS34" s="1198" t="str">
        <f t="shared" si="31"/>
        <v/>
      </c>
      <c r="BT34" s="1198" t="str">
        <f t="shared" si="32"/>
        <v/>
      </c>
      <c r="BU34" s="1198" t="str">
        <f t="shared" si="33"/>
        <v/>
      </c>
      <c r="BV34" s="3"/>
      <c r="BW34" s="1604" t="s">
        <v>182</v>
      </c>
      <c r="BX34" s="1606" t="s">
        <v>183</v>
      </c>
      <c r="BY34" s="1606"/>
      <c r="BZ34" s="1175">
        <v>0</v>
      </c>
      <c r="CA34" s="1176">
        <v>0.05</v>
      </c>
      <c r="CB34" s="1176">
        <v>7.0000000000000007E-2</v>
      </c>
      <c r="CC34" s="1176">
        <v>0.1</v>
      </c>
      <c r="CD34" s="1176">
        <v>0.14000000000000001</v>
      </c>
      <c r="CE34" s="1176">
        <v>0.17</v>
      </c>
      <c r="CF34" s="1176">
        <v>0.21</v>
      </c>
      <c r="CG34" s="1176">
        <v>0.28000000000000003</v>
      </c>
      <c r="CH34" s="1176">
        <v>0.35</v>
      </c>
      <c r="CI34" s="1176">
        <v>0.42</v>
      </c>
      <c r="CJ34" s="1176">
        <v>0.56000000000000005</v>
      </c>
      <c r="CK34" s="1175">
        <v>0</v>
      </c>
      <c r="CL34" s="1175">
        <v>0</v>
      </c>
      <c r="CM34" s="1175">
        <v>0</v>
      </c>
      <c r="CN34" s="1175">
        <v>0</v>
      </c>
      <c r="CO34" s="1175">
        <v>0</v>
      </c>
    </row>
    <row r="35" spans="1:93" s="769" customFormat="1" ht="15.75" customHeight="1" thickTop="1" thickBot="1" x14ac:dyDescent="0.35">
      <c r="A35" s="1205"/>
      <c r="C35" s="1167" t="str">
        <f>'Cálc. Sist. Extinção Automática'!E47</f>
        <v/>
      </c>
      <c r="D35" s="1168" t="str">
        <f>IF('Cálc. Sist. Extinção Automática'!F47="","",'Cálc. Sist. Extinção Automática'!F47)</f>
        <v/>
      </c>
      <c r="E35" s="1168" t="str">
        <f>IF('Cálc. Sist. Extinção Automática'!G47="","",'Cálc. Sist. Extinção Automática'!G47)</f>
        <v/>
      </c>
      <c r="F35" s="1169" t="str">
        <f>IF('Cálc. Sist. Extinção Automática'!AA47="","",'Cálc. Sist. Extinção Automática'!AA47)</f>
        <v/>
      </c>
      <c r="G35" s="1279" t="str">
        <f t="shared" si="35"/>
        <v/>
      </c>
      <c r="H35" s="1170"/>
      <c r="I35" s="1218" t="str">
        <f t="shared" si="34"/>
        <v/>
      </c>
      <c r="J35" s="1259"/>
      <c r="K35" s="1171"/>
      <c r="L35" s="1171"/>
      <c r="M35" s="1171"/>
      <c r="N35" s="1171"/>
      <c r="O35" s="1171"/>
      <c r="P35" s="1171"/>
      <c r="Q35" s="1171"/>
      <c r="R35" s="1171"/>
      <c r="S35" s="1171"/>
      <c r="T35" s="1171"/>
      <c r="U35" s="1171"/>
      <c r="V35" s="1171"/>
      <c r="W35" s="1171"/>
      <c r="X35" s="1171"/>
      <c r="Y35" s="1171"/>
      <c r="Z35" s="1171"/>
      <c r="AA35" s="1171"/>
      <c r="AB35" s="1171"/>
      <c r="AC35" s="1171"/>
      <c r="AD35" s="1171"/>
      <c r="AE35" s="1171"/>
      <c r="AF35" s="1171"/>
      <c r="AG35" s="1171"/>
      <c r="AH35" s="1171"/>
      <c r="AI35" s="1171"/>
      <c r="AJ35" s="1171"/>
      <c r="AK35" s="1171"/>
      <c r="AL35" s="1171"/>
      <c r="AM35" s="1171"/>
      <c r="AN35" s="1171"/>
      <c r="AO35" s="3"/>
      <c r="AP35" s="1212"/>
      <c r="AQ35" s="3"/>
      <c r="AR35" s="1198" t="str">
        <f t="shared" si="4"/>
        <v/>
      </c>
      <c r="AS35" s="1198" t="str">
        <f t="shared" si="5"/>
        <v/>
      </c>
      <c r="AT35" s="1198" t="str">
        <f t="shared" si="6"/>
        <v/>
      </c>
      <c r="AU35" s="1198" t="str">
        <f t="shared" si="7"/>
        <v/>
      </c>
      <c r="AV35" s="1198" t="str">
        <f t="shared" si="8"/>
        <v/>
      </c>
      <c r="AW35" s="1198" t="str">
        <f t="shared" si="9"/>
        <v/>
      </c>
      <c r="AX35" s="1198" t="str">
        <f t="shared" si="10"/>
        <v/>
      </c>
      <c r="AY35" s="1198" t="str">
        <f t="shared" si="11"/>
        <v/>
      </c>
      <c r="AZ35" s="1198" t="str">
        <f t="shared" si="12"/>
        <v/>
      </c>
      <c r="BA35" s="1198" t="str">
        <f t="shared" si="13"/>
        <v/>
      </c>
      <c r="BB35" s="1198" t="str">
        <f t="shared" si="14"/>
        <v/>
      </c>
      <c r="BC35" s="1198" t="str">
        <f t="shared" si="15"/>
        <v/>
      </c>
      <c r="BD35" s="1198" t="str">
        <f t="shared" si="16"/>
        <v/>
      </c>
      <c r="BE35" s="1198" t="str">
        <f t="shared" si="17"/>
        <v/>
      </c>
      <c r="BF35" s="1198" t="str">
        <f t="shared" si="18"/>
        <v/>
      </c>
      <c r="BG35" s="1198" t="str">
        <f t="shared" si="19"/>
        <v/>
      </c>
      <c r="BH35" s="1198" t="str">
        <f t="shared" si="20"/>
        <v/>
      </c>
      <c r="BI35" s="1198" t="str">
        <f t="shared" si="21"/>
        <v/>
      </c>
      <c r="BJ35" s="1198" t="str">
        <f t="shared" si="22"/>
        <v/>
      </c>
      <c r="BK35" s="1199" t="str">
        <f t="shared" si="23"/>
        <v/>
      </c>
      <c r="BL35" s="1199" t="str">
        <f t="shared" si="24"/>
        <v/>
      </c>
      <c r="BM35" s="1199" t="str">
        <f t="shared" si="25"/>
        <v/>
      </c>
      <c r="BN35" s="1199" t="str">
        <f t="shared" si="26"/>
        <v/>
      </c>
      <c r="BO35" s="1199" t="str">
        <f t="shared" si="27"/>
        <v/>
      </c>
      <c r="BP35" s="1199" t="str">
        <f t="shared" si="28"/>
        <v/>
      </c>
      <c r="BQ35" s="1198" t="str">
        <f t="shared" si="29"/>
        <v/>
      </c>
      <c r="BR35" s="1198" t="str">
        <f t="shared" si="30"/>
        <v/>
      </c>
      <c r="BS35" s="1198" t="str">
        <f t="shared" si="31"/>
        <v/>
      </c>
      <c r="BT35" s="1198" t="str">
        <f t="shared" si="32"/>
        <v/>
      </c>
      <c r="BU35" s="1198" t="str">
        <f t="shared" si="33"/>
        <v/>
      </c>
      <c r="BV35" s="3"/>
      <c r="BW35" s="1605"/>
      <c r="BX35" s="1607"/>
      <c r="BY35" s="1607"/>
      <c r="CA35" s="1176"/>
      <c r="CC35" s="1176"/>
      <c r="CE35" s="1176"/>
      <c r="CG35" s="1176"/>
      <c r="CI35" s="1176"/>
      <c r="CJ35" s="1176"/>
      <c r="CK35" s="1176"/>
      <c r="CL35" s="1176"/>
    </row>
    <row r="36" spans="1:93" s="769" customFormat="1" ht="15.75" customHeight="1" thickTop="1" thickBot="1" x14ac:dyDescent="0.35">
      <c r="A36" s="1205"/>
      <c r="C36" s="1167" t="str">
        <f>'Cálc. Sist. Extinção Automática'!E48</f>
        <v/>
      </c>
      <c r="D36" s="1168" t="str">
        <f>IF('Cálc. Sist. Extinção Automática'!F48="","",'Cálc. Sist. Extinção Automática'!F48)</f>
        <v/>
      </c>
      <c r="E36" s="1168" t="str">
        <f>IF('Cálc. Sist. Extinção Automática'!G48="","",'Cálc. Sist. Extinção Automática'!G48)</f>
        <v/>
      </c>
      <c r="F36" s="1169" t="str">
        <f>IF('Cálc. Sist. Extinção Automática'!AA48="","",'Cálc. Sist. Extinção Automática'!AA48)</f>
        <v/>
      </c>
      <c r="G36" s="1279" t="str">
        <f t="shared" si="35"/>
        <v/>
      </c>
      <c r="H36" s="1170"/>
      <c r="I36" s="1218" t="str">
        <f t="shared" si="34"/>
        <v/>
      </c>
      <c r="J36" s="1259"/>
      <c r="K36" s="1171"/>
      <c r="L36" s="1171"/>
      <c r="M36" s="1171"/>
      <c r="N36" s="1171"/>
      <c r="O36" s="1171"/>
      <c r="P36" s="1171"/>
      <c r="Q36" s="1171"/>
      <c r="R36" s="1171"/>
      <c r="S36" s="1171"/>
      <c r="T36" s="1171"/>
      <c r="U36" s="1171"/>
      <c r="V36" s="1171"/>
      <c r="W36" s="1171"/>
      <c r="X36" s="1171"/>
      <c r="Y36" s="1171"/>
      <c r="Z36" s="1171"/>
      <c r="AA36" s="1171"/>
      <c r="AB36" s="1171"/>
      <c r="AC36" s="1171"/>
      <c r="AD36" s="1171"/>
      <c r="AE36" s="1171"/>
      <c r="AF36" s="1171"/>
      <c r="AG36" s="1171"/>
      <c r="AH36" s="1171"/>
      <c r="AI36" s="1171"/>
      <c r="AJ36" s="1171"/>
      <c r="AK36" s="1171"/>
      <c r="AL36" s="1171"/>
      <c r="AM36" s="1171"/>
      <c r="AN36" s="1171"/>
      <c r="AO36" s="3"/>
      <c r="AP36" s="1212"/>
      <c r="AQ36" s="3"/>
      <c r="AR36" s="1198" t="str">
        <f t="shared" si="4"/>
        <v/>
      </c>
      <c r="AS36" s="1198" t="str">
        <f t="shared" si="5"/>
        <v/>
      </c>
      <c r="AT36" s="1198" t="str">
        <f t="shared" si="6"/>
        <v/>
      </c>
      <c r="AU36" s="1198" t="str">
        <f t="shared" si="7"/>
        <v/>
      </c>
      <c r="AV36" s="1198" t="str">
        <f t="shared" si="8"/>
        <v/>
      </c>
      <c r="AW36" s="1198" t="str">
        <f t="shared" si="9"/>
        <v/>
      </c>
      <c r="AX36" s="1198" t="str">
        <f t="shared" si="10"/>
        <v/>
      </c>
      <c r="AY36" s="1198" t="str">
        <f t="shared" si="11"/>
        <v/>
      </c>
      <c r="AZ36" s="1198" t="str">
        <f t="shared" si="12"/>
        <v/>
      </c>
      <c r="BA36" s="1198" t="str">
        <f t="shared" si="13"/>
        <v/>
      </c>
      <c r="BB36" s="1198" t="str">
        <f t="shared" si="14"/>
        <v/>
      </c>
      <c r="BC36" s="1198" t="str">
        <f t="shared" si="15"/>
        <v/>
      </c>
      <c r="BD36" s="1198" t="str">
        <f t="shared" si="16"/>
        <v/>
      </c>
      <c r="BE36" s="1198" t="str">
        <f t="shared" si="17"/>
        <v/>
      </c>
      <c r="BF36" s="1198" t="str">
        <f t="shared" si="18"/>
        <v/>
      </c>
      <c r="BG36" s="1198" t="str">
        <f t="shared" si="19"/>
        <v/>
      </c>
      <c r="BH36" s="1198" t="str">
        <f t="shared" si="20"/>
        <v/>
      </c>
      <c r="BI36" s="1198" t="str">
        <f t="shared" si="21"/>
        <v/>
      </c>
      <c r="BJ36" s="1198" t="str">
        <f t="shared" si="22"/>
        <v/>
      </c>
      <c r="BK36" s="1199" t="str">
        <f t="shared" si="23"/>
        <v/>
      </c>
      <c r="BL36" s="1199" t="str">
        <f t="shared" si="24"/>
        <v/>
      </c>
      <c r="BM36" s="1199" t="str">
        <f t="shared" si="25"/>
        <v/>
      </c>
      <c r="BN36" s="1199" t="str">
        <f t="shared" si="26"/>
        <v/>
      </c>
      <c r="BO36" s="1199" t="str">
        <f t="shared" si="27"/>
        <v/>
      </c>
      <c r="BP36" s="1199" t="str">
        <f t="shared" si="28"/>
        <v/>
      </c>
      <c r="BQ36" s="1198" t="str">
        <f t="shared" si="29"/>
        <v/>
      </c>
      <c r="BR36" s="1198" t="str">
        <f t="shared" si="30"/>
        <v/>
      </c>
      <c r="BS36" s="1198" t="str">
        <f t="shared" si="31"/>
        <v/>
      </c>
      <c r="BT36" s="1198" t="str">
        <f t="shared" si="32"/>
        <v/>
      </c>
      <c r="BU36" s="1198" t="str">
        <f t="shared" si="33"/>
        <v/>
      </c>
      <c r="BV36" s="3"/>
      <c r="BW36" s="1179"/>
      <c r="BX36" s="1180"/>
      <c r="BY36" s="1180"/>
      <c r="BZ36" s="1595">
        <v>0.06</v>
      </c>
      <c r="CA36" s="1587"/>
      <c r="CB36" s="1587"/>
      <c r="CC36" s="1176"/>
      <c r="CD36" s="1587">
        <v>0.17</v>
      </c>
      <c r="CE36" s="1587"/>
      <c r="CF36" s="1587"/>
      <c r="CG36" s="1595">
        <v>0.34</v>
      </c>
      <c r="CH36" s="1587"/>
      <c r="CI36" s="1587"/>
      <c r="CJ36" s="1176"/>
      <c r="CK36" s="1176"/>
      <c r="CL36" s="1176"/>
    </row>
    <row r="37" spans="1:93" s="769" customFormat="1" ht="15.75" customHeight="1" thickTop="1" thickBot="1" x14ac:dyDescent="0.35">
      <c r="A37" s="1205"/>
      <c r="C37" s="1167" t="str">
        <f>'Cálc. Sist. Extinção Automática'!E49</f>
        <v/>
      </c>
      <c r="D37" s="1168" t="str">
        <f>IF('Cálc. Sist. Extinção Automática'!F49="","",'Cálc. Sist. Extinção Automática'!F49)</f>
        <v/>
      </c>
      <c r="E37" s="1168" t="str">
        <f>IF('Cálc. Sist. Extinção Automática'!G49="","",'Cálc. Sist. Extinção Automática'!G49)</f>
        <v/>
      </c>
      <c r="F37" s="1169" t="str">
        <f>IF('Cálc. Sist. Extinção Automática'!AA49="","",'Cálc. Sist. Extinção Automática'!AA49)</f>
        <v/>
      </c>
      <c r="G37" s="1279" t="str">
        <f t="shared" si="35"/>
        <v/>
      </c>
      <c r="H37" s="1170"/>
      <c r="I37" s="1218" t="str">
        <f t="shared" si="34"/>
        <v/>
      </c>
      <c r="J37" s="1259"/>
      <c r="K37" s="1171"/>
      <c r="L37" s="1171"/>
      <c r="M37" s="1171"/>
      <c r="N37" s="1171"/>
      <c r="O37" s="1171"/>
      <c r="P37" s="1171"/>
      <c r="Q37" s="1171"/>
      <c r="R37" s="1171"/>
      <c r="S37" s="1171"/>
      <c r="T37" s="1171"/>
      <c r="U37" s="1171"/>
      <c r="V37" s="1171"/>
      <c r="W37" s="1171"/>
      <c r="X37" s="1171"/>
      <c r="Y37" s="1171"/>
      <c r="Z37" s="1171"/>
      <c r="AA37" s="1171"/>
      <c r="AB37" s="1171"/>
      <c r="AC37" s="1171"/>
      <c r="AD37" s="1171"/>
      <c r="AE37" s="1171"/>
      <c r="AF37" s="1171"/>
      <c r="AG37" s="1171"/>
      <c r="AH37" s="1171"/>
      <c r="AI37" s="1171"/>
      <c r="AJ37" s="1171"/>
      <c r="AK37" s="1171"/>
      <c r="AL37" s="1171"/>
      <c r="AM37" s="1171"/>
      <c r="AN37" s="1171"/>
      <c r="AO37" s="3"/>
      <c r="AP37" s="1212"/>
      <c r="AQ37" s="3"/>
      <c r="AR37" s="1198" t="str">
        <f t="shared" si="4"/>
        <v/>
      </c>
      <c r="AS37" s="1198" t="str">
        <f t="shared" si="5"/>
        <v/>
      </c>
      <c r="AT37" s="1198" t="str">
        <f t="shared" si="6"/>
        <v/>
      </c>
      <c r="AU37" s="1198" t="str">
        <f t="shared" si="7"/>
        <v/>
      </c>
      <c r="AV37" s="1198" t="str">
        <f t="shared" si="8"/>
        <v/>
      </c>
      <c r="AW37" s="1198" t="str">
        <f t="shared" si="9"/>
        <v/>
      </c>
      <c r="AX37" s="1198" t="str">
        <f t="shared" si="10"/>
        <v/>
      </c>
      <c r="AY37" s="1198" t="str">
        <f t="shared" si="11"/>
        <v/>
      </c>
      <c r="AZ37" s="1198" t="str">
        <f t="shared" si="12"/>
        <v/>
      </c>
      <c r="BA37" s="1198" t="str">
        <f t="shared" si="13"/>
        <v/>
      </c>
      <c r="BB37" s="1198" t="str">
        <f t="shared" si="14"/>
        <v/>
      </c>
      <c r="BC37" s="1198" t="str">
        <f t="shared" si="15"/>
        <v/>
      </c>
      <c r="BD37" s="1198" t="str">
        <f t="shared" si="16"/>
        <v/>
      </c>
      <c r="BE37" s="1198" t="str">
        <f t="shared" si="17"/>
        <v/>
      </c>
      <c r="BF37" s="1198" t="str">
        <f t="shared" si="18"/>
        <v/>
      </c>
      <c r="BG37" s="1198" t="str">
        <f t="shared" si="19"/>
        <v/>
      </c>
      <c r="BH37" s="1198" t="str">
        <f t="shared" si="20"/>
        <v/>
      </c>
      <c r="BI37" s="1198" t="str">
        <f t="shared" si="21"/>
        <v/>
      </c>
      <c r="BJ37" s="1198" t="str">
        <f t="shared" si="22"/>
        <v/>
      </c>
      <c r="BK37" s="1199" t="str">
        <f t="shared" si="23"/>
        <v/>
      </c>
      <c r="BL37" s="1199" t="str">
        <f t="shared" si="24"/>
        <v/>
      </c>
      <c r="BM37" s="1199" t="str">
        <f t="shared" si="25"/>
        <v/>
      </c>
      <c r="BN37" s="1199" t="str">
        <f t="shared" si="26"/>
        <v/>
      </c>
      <c r="BO37" s="1199" t="str">
        <f t="shared" si="27"/>
        <v/>
      </c>
      <c r="BP37" s="1199" t="str">
        <f t="shared" si="28"/>
        <v/>
      </c>
      <c r="BQ37" s="1198" t="str">
        <f t="shared" si="29"/>
        <v/>
      </c>
      <c r="BR37" s="1198" t="str">
        <f t="shared" si="30"/>
        <v/>
      </c>
      <c r="BS37" s="1198" t="str">
        <f t="shared" si="31"/>
        <v/>
      </c>
      <c r="BT37" s="1198" t="str">
        <f t="shared" si="32"/>
        <v/>
      </c>
      <c r="BU37" s="1198" t="str">
        <f t="shared" si="33"/>
        <v/>
      </c>
      <c r="BV37" s="3"/>
      <c r="BW37" s="1179"/>
      <c r="BX37" s="1180"/>
      <c r="BY37" s="1180"/>
      <c r="BZ37" s="1176"/>
      <c r="CA37" s="1587">
        <v>0.09</v>
      </c>
      <c r="CB37" s="1588"/>
      <c r="CC37" s="1588"/>
      <c r="CD37" s="1595">
        <v>0.2</v>
      </c>
      <c r="CE37" s="1587"/>
      <c r="CF37" s="1587"/>
      <c r="CG37" s="1587"/>
      <c r="CH37" s="1176"/>
      <c r="CI37" s="1176"/>
      <c r="CJ37" s="1176"/>
      <c r="CK37" s="1176"/>
      <c r="CL37" s="1176"/>
    </row>
    <row r="38" spans="1:93" s="769" customFormat="1" ht="15.75" customHeight="1" thickTop="1" thickBot="1" x14ac:dyDescent="0.35">
      <c r="A38" s="1205"/>
      <c r="C38" s="1192"/>
      <c r="D38" s="1192"/>
      <c r="E38" s="1192"/>
      <c r="F38" s="1193"/>
      <c r="G38" s="1194"/>
      <c r="H38" s="1196"/>
      <c r="I38" s="1195"/>
      <c r="K38" s="1197"/>
      <c r="L38" s="1197"/>
      <c r="M38" s="1197"/>
      <c r="N38" s="1197"/>
      <c r="O38" s="1197"/>
      <c r="P38" s="1197"/>
      <c r="Q38" s="1197"/>
      <c r="R38" s="1197"/>
      <c r="S38" s="1197"/>
      <c r="T38" s="1197"/>
      <c r="U38" s="1197"/>
      <c r="V38" s="1197"/>
      <c r="W38" s="1197"/>
      <c r="X38" s="1197"/>
      <c r="Y38" s="1197"/>
      <c r="Z38" s="1197"/>
      <c r="AA38" s="1197"/>
      <c r="AB38" s="1197"/>
      <c r="AC38" s="1197"/>
      <c r="AD38" s="1197"/>
      <c r="AE38" s="1197"/>
      <c r="AF38" s="1197"/>
      <c r="AG38" s="1197"/>
      <c r="AH38" s="1197"/>
      <c r="AI38" s="1197"/>
      <c r="AJ38" s="1197"/>
      <c r="AK38" s="1197"/>
      <c r="AL38" s="1197"/>
      <c r="AM38" s="1197"/>
      <c r="AN38" s="1197"/>
      <c r="AO38" s="3"/>
      <c r="AP38" s="1212"/>
      <c r="AQ38" s="3"/>
      <c r="AR38" s="1213"/>
      <c r="AS38" s="1213"/>
      <c r="AT38" s="1213"/>
      <c r="AU38" s="1213"/>
      <c r="AV38" s="1213"/>
      <c r="AW38" s="1213"/>
      <c r="AX38" s="1213"/>
      <c r="AY38" s="1213"/>
      <c r="AZ38" s="1213"/>
      <c r="BA38" s="1213"/>
      <c r="BB38" s="1213"/>
      <c r="BC38" s="1213"/>
      <c r="BD38" s="1213"/>
      <c r="BE38" s="1213"/>
      <c r="BF38" s="1213"/>
      <c r="BG38" s="1213"/>
      <c r="BH38" s="1213"/>
      <c r="BI38" s="1213"/>
      <c r="BJ38" s="1213"/>
      <c r="BK38" s="1213"/>
      <c r="BL38" s="1213"/>
      <c r="BM38" s="1213"/>
      <c r="BN38" s="1213"/>
      <c r="BO38" s="1213"/>
      <c r="BP38" s="1213"/>
      <c r="BQ38" s="1213"/>
      <c r="BR38" s="1213"/>
      <c r="BS38" s="1213"/>
      <c r="BT38" s="1213"/>
      <c r="BU38" s="1213"/>
      <c r="BV38" s="3"/>
      <c r="BW38" s="1179"/>
      <c r="BX38" s="1180"/>
      <c r="BY38" s="1180"/>
      <c r="BZ38" s="1176"/>
      <c r="CA38" s="1182"/>
      <c r="CB38" s="1587">
        <v>0.11</v>
      </c>
      <c r="CC38" s="1587"/>
      <c r="CD38" s="1587"/>
      <c r="CE38" s="1595">
        <v>0.23</v>
      </c>
      <c r="CF38" s="1588"/>
      <c r="CG38" s="1588"/>
      <c r="CH38" s="1176"/>
      <c r="CI38" s="1176"/>
      <c r="CJ38" s="1176"/>
      <c r="CK38" s="1176"/>
      <c r="CL38" s="1176"/>
    </row>
    <row r="39" spans="1:93" s="769" customFormat="1" ht="15.75" customHeight="1" thickTop="1" thickBot="1" x14ac:dyDescent="0.35">
      <c r="A39" s="1205"/>
      <c r="C39" s="1192"/>
      <c r="D39" s="1192"/>
      <c r="E39" s="1192"/>
      <c r="F39" s="1193"/>
      <c r="G39" s="1194"/>
      <c r="H39" s="1196"/>
      <c r="I39" s="1195"/>
      <c r="K39" s="1197"/>
      <c r="L39" s="1197"/>
      <c r="M39" s="1197"/>
      <c r="N39" s="1197"/>
      <c r="O39" s="1197"/>
      <c r="P39" s="1197"/>
      <c r="Q39" s="1197"/>
      <c r="R39" s="1197"/>
      <c r="S39" s="1197"/>
      <c r="T39" s="1197"/>
      <c r="U39" s="1197"/>
      <c r="V39" s="1197"/>
      <c r="W39" s="1197"/>
      <c r="X39" s="1197"/>
      <c r="Y39" s="1197"/>
      <c r="Z39" s="1197"/>
      <c r="AA39" s="1197"/>
      <c r="AB39" s="1197"/>
      <c r="AC39" s="1197"/>
      <c r="AD39" s="1197"/>
      <c r="AE39" s="1197"/>
      <c r="AF39" s="1197"/>
      <c r="AG39" s="1197"/>
      <c r="AH39" s="1197"/>
      <c r="AI39" s="1197"/>
      <c r="AJ39" s="1197"/>
      <c r="AK39" s="1197"/>
      <c r="AL39" s="1197"/>
      <c r="AM39" s="1197"/>
      <c r="AN39" s="1197"/>
      <c r="AO39" s="3"/>
      <c r="AP39" s="1212"/>
      <c r="AQ39" s="3"/>
      <c r="AR39" s="1213"/>
      <c r="AS39" s="1213"/>
      <c r="AT39" s="1213"/>
      <c r="AU39" s="1213"/>
      <c r="AV39" s="1213"/>
      <c r="AW39" s="1213"/>
      <c r="AX39" s="1213"/>
      <c r="AY39" s="1213"/>
      <c r="AZ39" s="1213"/>
      <c r="BA39" s="1213"/>
      <c r="BB39" s="1213"/>
      <c r="BC39" s="1213"/>
      <c r="BD39" s="1213"/>
      <c r="BE39" s="1213"/>
      <c r="BF39" s="1213"/>
      <c r="BG39" s="1213"/>
      <c r="BH39" s="1213"/>
      <c r="BI39" s="1213"/>
      <c r="BJ39" s="1213"/>
      <c r="BK39" s="1213"/>
      <c r="BL39" s="1213"/>
      <c r="BM39" s="1213"/>
      <c r="BN39" s="1213"/>
      <c r="BO39" s="1213"/>
      <c r="BP39" s="1213"/>
      <c r="BQ39" s="1213"/>
      <c r="BR39" s="1213"/>
      <c r="BS39" s="1213"/>
      <c r="BT39" s="1213"/>
      <c r="BU39" s="1213"/>
      <c r="BV39" s="3"/>
      <c r="BW39" s="1179"/>
      <c r="BX39" s="1180"/>
      <c r="BY39" s="1180"/>
      <c r="BZ39" s="1176"/>
      <c r="CA39" s="1182"/>
      <c r="CB39" s="1587">
        <v>0.13</v>
      </c>
      <c r="CC39" s="1588"/>
      <c r="CD39" s="1588"/>
      <c r="CE39" s="1588"/>
      <c r="CF39" s="1595">
        <v>0.28999999999999998</v>
      </c>
      <c r="CG39" s="1588"/>
      <c r="CH39" s="1588"/>
      <c r="CI39" s="1176"/>
      <c r="CJ39" s="1176"/>
      <c r="CK39" s="1176"/>
      <c r="CL39" s="1176"/>
    </row>
    <row r="40" spans="1:93" s="769" customFormat="1" ht="15.75" customHeight="1" thickTop="1" thickBot="1" x14ac:dyDescent="0.35">
      <c r="A40" s="1205"/>
      <c r="C40" s="1192"/>
      <c r="D40" s="1192"/>
      <c r="E40" s="1192"/>
      <c r="F40" s="1193"/>
      <c r="G40" s="1194"/>
      <c r="H40" s="1196"/>
      <c r="I40" s="1195"/>
      <c r="K40" s="1197"/>
      <c r="L40" s="1197"/>
      <c r="M40" s="1197"/>
      <c r="N40" s="1197"/>
      <c r="O40" s="1197"/>
      <c r="P40" s="1197"/>
      <c r="Q40" s="1197"/>
      <c r="R40" s="1197"/>
      <c r="S40" s="1197"/>
      <c r="T40" s="1197"/>
      <c r="U40" s="1197"/>
      <c r="V40" s="1197"/>
      <c r="W40" s="1197"/>
      <c r="X40" s="1197"/>
      <c r="Y40" s="1197"/>
      <c r="Z40" s="1197"/>
      <c r="AA40" s="1197"/>
      <c r="AB40" s="1197"/>
      <c r="AC40" s="1197"/>
      <c r="AD40" s="1197"/>
      <c r="AE40" s="1197"/>
      <c r="AF40" s="1197"/>
      <c r="AG40" s="1197"/>
      <c r="AH40" s="1197"/>
      <c r="AI40" s="1197"/>
      <c r="AJ40" s="1197"/>
      <c r="AK40" s="1197"/>
      <c r="AL40" s="1197"/>
      <c r="AM40" s="1197"/>
      <c r="AN40" s="1197"/>
      <c r="AO40" s="3"/>
      <c r="AP40" s="1212"/>
      <c r="AQ40" s="3"/>
      <c r="AR40" s="1213"/>
      <c r="AS40" s="1213"/>
      <c r="AT40" s="1213"/>
      <c r="AU40" s="1213"/>
      <c r="AV40" s="1213"/>
      <c r="AW40" s="1213"/>
      <c r="AX40" s="1213"/>
      <c r="AY40" s="1213"/>
      <c r="AZ40" s="1213"/>
      <c r="BA40" s="1213"/>
      <c r="BB40" s="1213"/>
      <c r="BC40" s="1213"/>
      <c r="BD40" s="1213"/>
      <c r="BE40" s="1213"/>
      <c r="BF40" s="1213"/>
      <c r="BG40" s="1213"/>
      <c r="BH40" s="1213"/>
      <c r="BI40" s="1213"/>
      <c r="BJ40" s="1213"/>
      <c r="BK40" s="1213"/>
      <c r="BL40" s="1213"/>
      <c r="BM40" s="1213"/>
      <c r="BN40" s="1213"/>
      <c r="BO40" s="1213"/>
      <c r="BP40" s="1213"/>
      <c r="BQ40" s="1213"/>
      <c r="BR40" s="1213"/>
      <c r="BS40" s="1213"/>
      <c r="BT40" s="1213"/>
      <c r="BU40" s="1213"/>
      <c r="BV40" s="3"/>
      <c r="BW40" s="1179"/>
      <c r="BX40" s="1180"/>
      <c r="BY40" s="1180"/>
      <c r="BZ40" s="1176"/>
      <c r="CA40" s="1182"/>
      <c r="CB40" s="1182"/>
      <c r="CC40" s="1587">
        <v>0.14000000000000001</v>
      </c>
      <c r="CD40" s="1587"/>
      <c r="CE40" s="1587"/>
      <c r="CF40" s="1595">
        <v>0.3</v>
      </c>
      <c r="CG40" s="1588"/>
      <c r="CH40" s="1588"/>
      <c r="CI40" s="1588"/>
      <c r="CJ40" s="1176"/>
      <c r="CK40" s="1176"/>
      <c r="CL40" s="1176"/>
    </row>
    <row r="41" spans="1:93" s="769" customFormat="1" ht="15.75" customHeight="1" thickTop="1" thickBot="1" x14ac:dyDescent="0.35">
      <c r="A41" s="1205"/>
      <c r="C41" s="1192"/>
      <c r="D41" s="1192"/>
      <c r="E41" s="1192"/>
      <c r="F41" s="1193"/>
      <c r="G41" s="1194"/>
      <c r="H41" s="1196"/>
      <c r="I41" s="1195"/>
      <c r="K41" s="1197"/>
      <c r="L41" s="1197"/>
      <c r="M41" s="1197"/>
      <c r="N41" s="1197"/>
      <c r="O41" s="1197"/>
      <c r="P41" s="1197"/>
      <c r="Q41" s="1197"/>
      <c r="R41" s="1197"/>
      <c r="S41" s="1197"/>
      <c r="T41" s="1197"/>
      <c r="U41" s="1197"/>
      <c r="V41" s="1197"/>
      <c r="W41" s="1197"/>
      <c r="X41" s="1197"/>
      <c r="Y41" s="1197"/>
      <c r="Z41" s="1197"/>
      <c r="AA41" s="1197"/>
      <c r="AB41" s="1197"/>
      <c r="AC41" s="1197"/>
      <c r="AD41" s="1197"/>
      <c r="AE41" s="1197"/>
      <c r="AF41" s="1197"/>
      <c r="AG41" s="1197"/>
      <c r="AH41" s="1197"/>
      <c r="AI41" s="1197"/>
      <c r="AJ41" s="1197"/>
      <c r="AK41" s="1197"/>
      <c r="AL41" s="1197"/>
      <c r="AM41" s="1197"/>
      <c r="AN41" s="1197"/>
      <c r="AO41" s="3"/>
      <c r="AP41" s="1212"/>
      <c r="AQ41" s="3"/>
      <c r="AR41" s="1213"/>
      <c r="AS41" s="1213"/>
      <c r="AT41" s="1213"/>
      <c r="AU41" s="1213"/>
      <c r="AV41" s="1213"/>
      <c r="AW41" s="1213"/>
      <c r="AX41" s="1213"/>
      <c r="AY41" s="1213"/>
      <c r="AZ41" s="1213"/>
      <c r="BA41" s="1213"/>
      <c r="BB41" s="1213"/>
      <c r="BC41" s="1213"/>
      <c r="BD41" s="1213"/>
      <c r="BE41" s="1213"/>
      <c r="BF41" s="1213"/>
      <c r="BG41" s="1213"/>
      <c r="BH41" s="1213"/>
      <c r="BI41" s="1213"/>
      <c r="BJ41" s="1213"/>
      <c r="BK41" s="1213"/>
      <c r="BL41" s="1213"/>
      <c r="BM41" s="1213"/>
      <c r="BN41" s="1213"/>
      <c r="BO41" s="1213"/>
      <c r="BP41" s="1213"/>
      <c r="BQ41" s="1213"/>
      <c r="BR41" s="1213"/>
      <c r="BS41" s="1213"/>
      <c r="BT41" s="1213"/>
      <c r="BU41" s="1213"/>
      <c r="BV41" s="3"/>
      <c r="BW41" s="1179"/>
      <c r="BX41" s="1180"/>
      <c r="BY41" s="1180"/>
      <c r="BZ41" s="1176"/>
      <c r="CA41" s="1182"/>
      <c r="CB41" s="1182"/>
      <c r="CC41" s="1587">
        <v>0.15</v>
      </c>
      <c r="CD41" s="1588"/>
      <c r="CE41" s="1588"/>
      <c r="CF41" s="1588"/>
      <c r="CG41" s="1595">
        <v>0.46</v>
      </c>
      <c r="CH41" s="1588"/>
      <c r="CI41" s="1588"/>
      <c r="CJ41" s="1588"/>
      <c r="CK41" s="1176"/>
      <c r="CL41" s="1176"/>
    </row>
    <row r="42" spans="1:93" s="769" customFormat="1" ht="15.75" customHeight="1" thickTop="1" thickBot="1" x14ac:dyDescent="0.35">
      <c r="A42" s="1205"/>
      <c r="C42" s="1192"/>
      <c r="D42" s="1192"/>
      <c r="E42" s="1192"/>
      <c r="F42" s="1193"/>
      <c r="G42" s="1194"/>
      <c r="H42" s="1196"/>
      <c r="I42" s="1195"/>
      <c r="K42" s="1197"/>
      <c r="L42" s="1197"/>
      <c r="M42" s="1197"/>
      <c r="N42" s="1197"/>
      <c r="O42" s="1197"/>
      <c r="P42" s="1197"/>
      <c r="Q42" s="1197"/>
      <c r="R42" s="1197"/>
      <c r="S42" s="1197"/>
      <c r="T42" s="1197"/>
      <c r="U42" s="1197"/>
      <c r="V42" s="1197"/>
      <c r="W42" s="1197"/>
      <c r="X42" s="1197"/>
      <c r="Y42" s="1197"/>
      <c r="Z42" s="1197"/>
      <c r="AA42" s="1197"/>
      <c r="AB42" s="1197"/>
      <c r="AC42" s="1197"/>
      <c r="AD42" s="1197"/>
      <c r="AE42" s="1197"/>
      <c r="AF42" s="1197"/>
      <c r="AG42" s="1197"/>
      <c r="AH42" s="1197"/>
      <c r="AI42" s="1197"/>
      <c r="AJ42" s="1197"/>
      <c r="AK42" s="1197"/>
      <c r="AL42" s="1197"/>
      <c r="AM42" s="1197"/>
      <c r="AN42" s="1197"/>
      <c r="AO42" s="3"/>
      <c r="AP42" s="1212"/>
      <c r="AQ42" s="3"/>
      <c r="AR42" s="1213"/>
      <c r="AS42" s="1213"/>
      <c r="AT42" s="1213"/>
      <c r="AU42" s="1213"/>
      <c r="AV42" s="1213"/>
      <c r="AW42" s="1213"/>
      <c r="AX42" s="1213"/>
      <c r="AY42" s="1213"/>
      <c r="AZ42" s="1213"/>
      <c r="BA42" s="1213"/>
      <c r="BB42" s="1213"/>
      <c r="BC42" s="1213"/>
      <c r="BD42" s="1213"/>
      <c r="BE42" s="1213"/>
      <c r="BF42" s="1213"/>
      <c r="BG42" s="1213"/>
      <c r="BH42" s="1213"/>
      <c r="BI42" s="1213"/>
      <c r="BJ42" s="1213"/>
      <c r="BK42" s="1213"/>
      <c r="BL42" s="1213"/>
      <c r="BM42" s="1213"/>
      <c r="BN42" s="1213"/>
      <c r="BO42" s="1213"/>
      <c r="BP42" s="1213"/>
      <c r="BQ42" s="1213"/>
      <c r="BR42" s="1213"/>
      <c r="BS42" s="1213"/>
      <c r="BT42" s="1213"/>
      <c r="BU42" s="1213"/>
      <c r="BV42" s="3"/>
      <c r="BW42" s="1181"/>
      <c r="BX42" s="1174"/>
      <c r="BY42" s="1174"/>
      <c r="BZ42" s="1176"/>
      <c r="CA42" s="1182"/>
      <c r="CB42" s="1182"/>
      <c r="CC42" s="1182"/>
      <c r="CE42" s="1587">
        <v>0.25</v>
      </c>
      <c r="CF42" s="1588"/>
      <c r="CG42" s="1588"/>
      <c r="CH42" s="1588"/>
      <c r="CI42" s="1176"/>
      <c r="CJ42" s="1176"/>
      <c r="CK42" s="1176"/>
      <c r="CL42" s="1176"/>
    </row>
    <row r="43" spans="1:93" s="769" customFormat="1" ht="15.75" customHeight="1" thickTop="1" thickBot="1" x14ac:dyDescent="0.35">
      <c r="A43" s="1205"/>
      <c r="C43" s="1192"/>
      <c r="D43" s="1192"/>
      <c r="E43" s="1192"/>
      <c r="F43" s="1193"/>
      <c r="G43" s="1194"/>
      <c r="H43" s="1196"/>
      <c r="I43" s="1195"/>
      <c r="K43" s="1197"/>
      <c r="L43" s="1197"/>
      <c r="M43" s="1197"/>
      <c r="N43" s="1197"/>
      <c r="O43" s="1197"/>
      <c r="P43" s="1197"/>
      <c r="Q43" s="1197"/>
      <c r="R43" s="1197"/>
      <c r="S43" s="1197"/>
      <c r="T43" s="1197"/>
      <c r="U43" s="1197"/>
      <c r="V43" s="1197"/>
      <c r="W43" s="1197"/>
      <c r="X43" s="1197"/>
      <c r="Y43" s="1197"/>
      <c r="Z43" s="1197"/>
      <c r="AA43" s="1197"/>
      <c r="AB43" s="1197"/>
      <c r="AC43" s="1197"/>
      <c r="AD43" s="1197"/>
      <c r="AE43" s="1197"/>
      <c r="AF43" s="1197"/>
      <c r="AG43" s="1197"/>
      <c r="AH43" s="1197"/>
      <c r="AI43" s="1197"/>
      <c r="AJ43" s="1197"/>
      <c r="AK43" s="1197"/>
      <c r="AL43" s="1197"/>
      <c r="AM43" s="1197"/>
      <c r="AN43" s="1197"/>
      <c r="AO43" s="3"/>
      <c r="AP43" s="1212"/>
      <c r="AQ43" s="3"/>
      <c r="AR43" s="1213"/>
      <c r="AS43" s="1213"/>
      <c r="AT43" s="1213"/>
      <c r="AU43" s="1213"/>
      <c r="AV43" s="1213"/>
      <c r="AW43" s="1213"/>
      <c r="AX43" s="1213"/>
      <c r="AY43" s="1213"/>
      <c r="AZ43" s="1213"/>
      <c r="BA43" s="1213"/>
      <c r="BB43" s="1213"/>
      <c r="BC43" s="1213"/>
      <c r="BD43" s="1213"/>
      <c r="BE43" s="1213"/>
      <c r="BF43" s="1213"/>
      <c r="BG43" s="1213"/>
      <c r="BH43" s="1213"/>
      <c r="BI43" s="1213"/>
      <c r="BJ43" s="1213"/>
      <c r="BK43" s="1213"/>
      <c r="BL43" s="1213"/>
      <c r="BM43" s="1213"/>
      <c r="BN43" s="1213"/>
      <c r="BO43" s="1213"/>
      <c r="BP43" s="1213"/>
      <c r="BQ43" s="1213"/>
      <c r="BR43" s="1213"/>
      <c r="BS43" s="1213"/>
      <c r="BT43" s="1213"/>
      <c r="BU43" s="1213"/>
      <c r="BV43" s="3"/>
      <c r="BW43" s="1172">
        <v>131</v>
      </c>
      <c r="BX43" s="1173" t="s">
        <v>184</v>
      </c>
      <c r="BY43" s="1173"/>
      <c r="BZ43" s="1175">
        <v>0</v>
      </c>
      <c r="CA43" s="1175">
        <v>0</v>
      </c>
      <c r="CB43" s="1175">
        <v>0</v>
      </c>
      <c r="CC43" s="1175">
        <v>0</v>
      </c>
      <c r="CD43" s="1175">
        <v>0</v>
      </c>
      <c r="CE43" s="1175">
        <v>0</v>
      </c>
      <c r="CF43" s="1175">
        <v>0</v>
      </c>
      <c r="CG43" s="1175">
        <v>0</v>
      </c>
      <c r="CH43" s="1175">
        <v>0</v>
      </c>
      <c r="CI43" s="1175">
        <v>0</v>
      </c>
      <c r="CJ43" s="1175">
        <v>0</v>
      </c>
      <c r="CK43" s="1175">
        <v>0</v>
      </c>
      <c r="CL43" s="1175">
        <v>0</v>
      </c>
      <c r="CM43" s="1175">
        <v>0</v>
      </c>
      <c r="CN43" s="1175">
        <v>0</v>
      </c>
      <c r="CO43" s="1175">
        <v>0</v>
      </c>
    </row>
    <row r="44" spans="1:93" s="769" customFormat="1" ht="15.75" customHeight="1" thickTop="1" thickBot="1" x14ac:dyDescent="0.35">
      <c r="A44" s="1205"/>
      <c r="C44" s="1192"/>
      <c r="D44" s="1192"/>
      <c r="E44" s="1192"/>
      <c r="F44" s="1193"/>
      <c r="G44" s="1194"/>
      <c r="H44" s="1196"/>
      <c r="I44" s="1195"/>
      <c r="K44" s="1197"/>
      <c r="L44" s="1197"/>
      <c r="M44" s="1197"/>
      <c r="N44" s="1197"/>
      <c r="O44" s="1197"/>
      <c r="P44" s="1197"/>
      <c r="Q44" s="1197"/>
      <c r="R44" s="1197"/>
      <c r="S44" s="1197"/>
      <c r="T44" s="1197"/>
      <c r="U44" s="1197"/>
      <c r="V44" s="1197"/>
      <c r="W44" s="1197"/>
      <c r="X44" s="1197"/>
      <c r="Y44" s="1197"/>
      <c r="Z44" s="1197"/>
      <c r="AA44" s="1197"/>
      <c r="AB44" s="1197"/>
      <c r="AC44" s="1197"/>
      <c r="AD44" s="1197"/>
      <c r="AE44" s="1197"/>
      <c r="AF44" s="1197"/>
      <c r="AG44" s="1197"/>
      <c r="AH44" s="1197"/>
      <c r="AI44" s="1197"/>
      <c r="AJ44" s="1197"/>
      <c r="AK44" s="1197"/>
      <c r="AL44" s="1197"/>
      <c r="AM44" s="1197"/>
      <c r="AN44" s="1197"/>
      <c r="AO44" s="3"/>
      <c r="AP44" s="1212"/>
      <c r="AQ44" s="3"/>
      <c r="AR44" s="1213"/>
      <c r="AS44" s="1213"/>
      <c r="AT44" s="1213"/>
      <c r="AU44" s="1213"/>
      <c r="AV44" s="1213"/>
      <c r="AW44" s="1213"/>
      <c r="AX44" s="1213"/>
      <c r="AY44" s="1213"/>
      <c r="AZ44" s="1213"/>
      <c r="BA44" s="1213"/>
      <c r="BB44" s="1213"/>
      <c r="BC44" s="1213"/>
      <c r="BD44" s="1213"/>
      <c r="BE44" s="1213"/>
      <c r="BF44" s="1213"/>
      <c r="BG44" s="1213"/>
      <c r="BH44" s="1213"/>
      <c r="BI44" s="1213"/>
      <c r="BJ44" s="1213"/>
      <c r="BK44" s="1213"/>
      <c r="BL44" s="1213"/>
      <c r="BM44" s="1213"/>
      <c r="BN44" s="1213"/>
      <c r="BO44" s="1213"/>
      <c r="BP44" s="1213"/>
      <c r="BQ44" s="1213"/>
      <c r="BR44" s="1213"/>
      <c r="BS44" s="1213"/>
      <c r="BT44" s="1213"/>
      <c r="BU44" s="1213"/>
      <c r="BV44" s="3"/>
      <c r="BW44" s="1172">
        <v>180</v>
      </c>
      <c r="BX44" s="1173" t="s">
        <v>185</v>
      </c>
      <c r="BY44" s="1173"/>
      <c r="BZ44" s="1176">
        <v>0.05</v>
      </c>
      <c r="CA44" s="1176">
        <v>0.08</v>
      </c>
      <c r="CB44" s="1176">
        <v>0.1</v>
      </c>
      <c r="CC44" s="1176">
        <v>0.15</v>
      </c>
      <c r="CD44" s="1176">
        <v>0.2</v>
      </c>
      <c r="CE44" s="1176">
        <v>0.25</v>
      </c>
      <c r="CF44" s="1176">
        <v>0.3</v>
      </c>
      <c r="CG44" s="1176">
        <v>0.41</v>
      </c>
      <c r="CH44" s="1175">
        <v>0</v>
      </c>
      <c r="CI44" s="1175">
        <v>0</v>
      </c>
      <c r="CJ44" s="1175">
        <v>0</v>
      </c>
      <c r="CK44" s="1175">
        <v>0</v>
      </c>
      <c r="CL44" s="1175">
        <v>0</v>
      </c>
      <c r="CM44" s="1175">
        <v>0</v>
      </c>
      <c r="CN44" s="1175">
        <v>0</v>
      </c>
      <c r="CO44" s="1175">
        <v>0</v>
      </c>
    </row>
    <row r="45" spans="1:93" s="769" customFormat="1" ht="15.75" customHeight="1" thickTop="1" thickBot="1" x14ac:dyDescent="0.35">
      <c r="A45" s="1205"/>
      <c r="C45" s="1192"/>
      <c r="D45" s="1192"/>
      <c r="E45" s="1192"/>
      <c r="F45" s="1193"/>
      <c r="G45" s="1194"/>
      <c r="H45" s="1196"/>
      <c r="I45" s="1195"/>
      <c r="K45" s="1197"/>
      <c r="L45" s="1197"/>
      <c r="M45" s="1197"/>
      <c r="N45" s="1197"/>
      <c r="O45" s="1197"/>
      <c r="P45" s="1197"/>
      <c r="Q45" s="1197"/>
      <c r="R45" s="1197"/>
      <c r="S45" s="1197"/>
      <c r="T45" s="1197"/>
      <c r="U45" s="1197"/>
      <c r="V45" s="1197"/>
      <c r="W45" s="1197"/>
      <c r="X45" s="1197"/>
      <c r="Y45" s="1197"/>
      <c r="Z45" s="1197"/>
      <c r="AA45" s="1197"/>
      <c r="AB45" s="1197"/>
      <c r="AC45" s="1197"/>
      <c r="AD45" s="1197"/>
      <c r="AE45" s="1197"/>
      <c r="AF45" s="1197"/>
      <c r="AG45" s="1197"/>
      <c r="AH45" s="1197"/>
      <c r="AI45" s="1197"/>
      <c r="AJ45" s="1197"/>
      <c r="AK45" s="1197"/>
      <c r="AL45" s="1197"/>
      <c r="AM45" s="1197"/>
      <c r="AN45" s="1197"/>
      <c r="AO45" s="3"/>
      <c r="AP45" s="1212"/>
      <c r="AQ45" s="3"/>
      <c r="AR45" s="1213"/>
      <c r="AS45" s="1213"/>
      <c r="AT45" s="1213"/>
      <c r="AU45" s="1213"/>
      <c r="AV45" s="1213"/>
      <c r="AW45" s="1213"/>
      <c r="AX45" s="1213"/>
      <c r="AY45" s="1213"/>
      <c r="AZ45" s="1213"/>
      <c r="BA45" s="1213"/>
      <c r="BB45" s="1213"/>
      <c r="BC45" s="1213"/>
      <c r="BD45" s="1213"/>
      <c r="BE45" s="1213"/>
      <c r="BF45" s="1213"/>
      <c r="BG45" s="1213"/>
      <c r="BH45" s="1213"/>
      <c r="BI45" s="1213"/>
      <c r="BJ45" s="1213"/>
      <c r="BK45" s="1213"/>
      <c r="BL45" s="1213"/>
      <c r="BM45" s="1213"/>
      <c r="BN45" s="1213"/>
      <c r="BO45" s="1213"/>
      <c r="BP45" s="1213"/>
      <c r="BQ45" s="1213"/>
      <c r="BR45" s="1213"/>
      <c r="BS45" s="1213"/>
      <c r="BT45" s="1213"/>
      <c r="BU45" s="1213"/>
      <c r="BV45" s="3"/>
      <c r="BW45" s="1172"/>
      <c r="BX45" s="1173"/>
      <c r="BY45" s="1173"/>
      <c r="BZ45" s="1176">
        <v>0.34</v>
      </c>
      <c r="CA45" s="1176">
        <v>0.5</v>
      </c>
      <c r="CB45" s="1176">
        <v>0.67</v>
      </c>
      <c r="CC45" s="1176">
        <v>1.01</v>
      </c>
      <c r="CD45" s="1176">
        <v>1.35</v>
      </c>
      <c r="CE45" s="1176">
        <v>1.68</v>
      </c>
      <c r="CF45" s="1176">
        <v>2.02</v>
      </c>
      <c r="CG45" s="1176">
        <v>2.69</v>
      </c>
      <c r="CH45" s="1175">
        <v>0</v>
      </c>
      <c r="CI45" s="1175">
        <v>0</v>
      </c>
      <c r="CJ45" s="1175">
        <v>0</v>
      </c>
      <c r="CK45" s="1175">
        <v>0</v>
      </c>
      <c r="CL45" s="1175">
        <v>0</v>
      </c>
      <c r="CM45" s="1175">
        <v>0</v>
      </c>
      <c r="CN45" s="1175">
        <v>0</v>
      </c>
      <c r="CO45" s="1175">
        <v>0</v>
      </c>
    </row>
    <row r="46" spans="1:93" s="769" customFormat="1" ht="15.75" customHeight="1" thickTop="1" thickBot="1" x14ac:dyDescent="0.35">
      <c r="A46" s="1205"/>
      <c r="C46" s="1192"/>
      <c r="D46" s="1192"/>
      <c r="E46" s="1192"/>
      <c r="F46" s="1193"/>
      <c r="G46" s="1194"/>
      <c r="H46" s="1196"/>
      <c r="I46" s="1195"/>
      <c r="K46" s="1197"/>
      <c r="L46" s="1197"/>
      <c r="M46" s="1197"/>
      <c r="N46" s="1197"/>
      <c r="O46" s="1197"/>
      <c r="P46" s="1197"/>
      <c r="Q46" s="1197"/>
      <c r="R46" s="1197"/>
      <c r="S46" s="1197"/>
      <c r="T46" s="1197"/>
      <c r="U46" s="1197"/>
      <c r="V46" s="1197"/>
      <c r="W46" s="1197"/>
      <c r="X46" s="1197"/>
      <c r="Y46" s="1197"/>
      <c r="Z46" s="1197"/>
      <c r="AA46" s="1197"/>
      <c r="AB46" s="1197"/>
      <c r="AC46" s="1197"/>
      <c r="AD46" s="1197"/>
      <c r="AE46" s="1197"/>
      <c r="AF46" s="1197"/>
      <c r="AG46" s="1197"/>
      <c r="AH46" s="1197"/>
      <c r="AI46" s="1197"/>
      <c r="AJ46" s="1197"/>
      <c r="AK46" s="1197"/>
      <c r="AL46" s="1197"/>
      <c r="AM46" s="1197"/>
      <c r="AN46" s="1197"/>
      <c r="AO46" s="3"/>
      <c r="AP46" s="1212"/>
      <c r="AQ46" s="3"/>
      <c r="AR46" s="1213"/>
      <c r="AS46" s="1213"/>
      <c r="AT46" s="1213"/>
      <c r="AU46" s="1213"/>
      <c r="AV46" s="1213"/>
      <c r="AW46" s="1213"/>
      <c r="AX46" s="1213"/>
      <c r="AY46" s="1213"/>
      <c r="AZ46" s="1213"/>
      <c r="BA46" s="1213"/>
      <c r="BB46" s="1213"/>
      <c r="BC46" s="1213"/>
      <c r="BD46" s="1213"/>
      <c r="BE46" s="1213"/>
      <c r="BF46" s="1213"/>
      <c r="BG46" s="1213"/>
      <c r="BH46" s="1213"/>
      <c r="BI46" s="1213"/>
      <c r="BJ46" s="1213"/>
      <c r="BK46" s="1213"/>
      <c r="BL46" s="1213"/>
      <c r="BM46" s="1213"/>
      <c r="BN46" s="1213"/>
      <c r="BO46" s="1213"/>
      <c r="BP46" s="1213"/>
      <c r="BQ46" s="1213"/>
      <c r="BR46" s="1213"/>
      <c r="BS46" s="1213"/>
      <c r="BT46" s="1213"/>
      <c r="BU46" s="1213"/>
      <c r="BV46" s="3"/>
      <c r="BW46" s="1172">
        <v>221</v>
      </c>
      <c r="BX46" s="1173" t="s">
        <v>186</v>
      </c>
      <c r="BY46" s="1173"/>
      <c r="BZ46" s="1175">
        <v>0</v>
      </c>
      <c r="CA46" s="1176">
        <v>0.61</v>
      </c>
      <c r="CB46" s="1176">
        <v>0.81</v>
      </c>
      <c r="CC46" s="1176">
        <v>1.22</v>
      </c>
      <c r="CD46" s="1176">
        <v>1.63</v>
      </c>
      <c r="CE46" s="1176">
        <v>2.0299999999999998</v>
      </c>
      <c r="CF46" s="1176">
        <v>2.44</v>
      </c>
      <c r="CG46" s="1176">
        <v>3.25</v>
      </c>
      <c r="CH46" s="1175">
        <v>0</v>
      </c>
      <c r="CI46" s="1175">
        <v>0</v>
      </c>
      <c r="CJ46" s="1175">
        <v>0</v>
      </c>
      <c r="CK46" s="1175">
        <v>0</v>
      </c>
      <c r="CL46" s="1175">
        <v>0</v>
      </c>
      <c r="CM46" s="1175">
        <v>0</v>
      </c>
      <c r="CN46" s="1175">
        <v>0</v>
      </c>
      <c r="CO46" s="1175">
        <v>0</v>
      </c>
    </row>
    <row r="47" spans="1:93" s="769" customFormat="1" ht="15.75" customHeight="1" thickTop="1" thickBot="1" x14ac:dyDescent="0.35">
      <c r="A47" s="1205"/>
      <c r="C47" s="1192"/>
      <c r="D47" s="1192"/>
      <c r="E47" s="1192"/>
      <c r="F47" s="1193"/>
      <c r="G47" s="1194"/>
      <c r="H47" s="1196"/>
      <c r="I47" s="1195"/>
      <c r="K47" s="1197"/>
      <c r="L47" s="1197"/>
      <c r="M47" s="1197"/>
      <c r="N47" s="1197"/>
      <c r="O47" s="1197"/>
      <c r="P47" s="1197"/>
      <c r="Q47" s="1197"/>
      <c r="R47" s="1197"/>
      <c r="S47" s="1197"/>
      <c r="T47" s="1197"/>
      <c r="U47" s="1197"/>
      <c r="V47" s="1197"/>
      <c r="W47" s="1197"/>
      <c r="X47" s="1197"/>
      <c r="Y47" s="1197"/>
      <c r="Z47" s="1197"/>
      <c r="AA47" s="1197"/>
      <c r="AB47" s="1197"/>
      <c r="AC47" s="1197"/>
      <c r="AD47" s="1197"/>
      <c r="AE47" s="1197"/>
      <c r="AF47" s="1197"/>
      <c r="AG47" s="1197"/>
      <c r="AH47" s="1197"/>
      <c r="AI47" s="1197"/>
      <c r="AJ47" s="1197"/>
      <c r="AK47" s="1197"/>
      <c r="AL47" s="1197"/>
      <c r="AM47" s="1197"/>
      <c r="AN47" s="1197"/>
      <c r="AO47" s="3"/>
      <c r="AP47" s="1212"/>
      <c r="AQ47" s="3"/>
      <c r="AR47" s="1213"/>
      <c r="AS47" s="1213"/>
      <c r="AT47" s="1213"/>
      <c r="AU47" s="1213"/>
      <c r="AV47" s="1213"/>
      <c r="AW47" s="1213"/>
      <c r="AX47" s="1213"/>
      <c r="AY47" s="1213"/>
      <c r="AZ47" s="1213"/>
      <c r="BA47" s="1213"/>
      <c r="BB47" s="1213"/>
      <c r="BC47" s="1213"/>
      <c r="BD47" s="1213"/>
      <c r="BE47" s="1213"/>
      <c r="BF47" s="1213"/>
      <c r="BG47" s="1213"/>
      <c r="BH47" s="1213"/>
      <c r="BI47" s="1213"/>
      <c r="BJ47" s="1213"/>
      <c r="BK47" s="1213"/>
      <c r="BL47" s="1213"/>
      <c r="BM47" s="1213"/>
      <c r="BN47" s="1213"/>
      <c r="BO47" s="1213"/>
      <c r="BP47" s="1213"/>
      <c r="BQ47" s="1213"/>
      <c r="BR47" s="1213"/>
      <c r="BS47" s="1213"/>
      <c r="BT47" s="1213"/>
      <c r="BU47" s="1213"/>
      <c r="BV47" s="3"/>
      <c r="BW47" s="1172">
        <v>240</v>
      </c>
      <c r="BX47" s="1173" t="s">
        <v>804</v>
      </c>
      <c r="BY47" s="1173"/>
      <c r="BZ47" s="1175">
        <v>0</v>
      </c>
      <c r="CA47" s="1176">
        <v>0.2</v>
      </c>
      <c r="CB47" s="1176">
        <v>0.3</v>
      </c>
      <c r="CC47" s="1176">
        <v>0.5</v>
      </c>
      <c r="CD47" s="1176">
        <v>0.65</v>
      </c>
      <c r="CE47" s="1176">
        <v>0.85</v>
      </c>
      <c r="CF47" s="1176">
        <v>1</v>
      </c>
      <c r="CG47" s="1176">
        <v>1.3</v>
      </c>
      <c r="CH47" s="1176">
        <v>2</v>
      </c>
      <c r="CI47" s="1176">
        <v>2.2999999999999998</v>
      </c>
      <c r="CJ47" s="1176">
        <v>3</v>
      </c>
      <c r="CK47" s="1175">
        <v>0</v>
      </c>
      <c r="CL47" s="1175">
        <v>0</v>
      </c>
      <c r="CM47" s="1175">
        <v>0</v>
      </c>
      <c r="CN47" s="1175">
        <v>0</v>
      </c>
      <c r="CO47" s="1175">
        <v>0</v>
      </c>
    </row>
    <row r="48" spans="1:93" s="769" customFormat="1" ht="15.75" customHeight="1" thickTop="1" thickBot="1" x14ac:dyDescent="0.35">
      <c r="A48" s="1205"/>
      <c r="C48" s="1192"/>
      <c r="D48" s="1192"/>
      <c r="E48" s="1192"/>
      <c r="F48" s="1193"/>
      <c r="G48" s="1194"/>
      <c r="H48" s="1196"/>
      <c r="I48" s="1195"/>
      <c r="K48" s="1197"/>
      <c r="L48" s="1197"/>
      <c r="M48" s="1197"/>
      <c r="N48" s="1197"/>
      <c r="O48" s="1197"/>
      <c r="P48" s="1197"/>
      <c r="Q48" s="1197"/>
      <c r="R48" s="1197"/>
      <c r="S48" s="1197"/>
      <c r="T48" s="1197"/>
      <c r="U48" s="1197"/>
      <c r="V48" s="1197"/>
      <c r="W48" s="1197"/>
      <c r="X48" s="1197"/>
      <c r="Y48" s="1197"/>
      <c r="Z48" s="1197"/>
      <c r="AA48" s="1197"/>
      <c r="AB48" s="1197"/>
      <c r="AC48" s="1197"/>
      <c r="AD48" s="1197"/>
      <c r="AE48" s="1197"/>
      <c r="AF48" s="1197"/>
      <c r="AG48" s="1197"/>
      <c r="AH48" s="1197"/>
      <c r="AI48" s="1197"/>
      <c r="AJ48" s="1197"/>
      <c r="AK48" s="1197"/>
      <c r="AL48" s="1197"/>
      <c r="AM48" s="1197"/>
      <c r="AN48" s="1197"/>
      <c r="AO48" s="3"/>
      <c r="AP48" s="1212"/>
      <c r="AQ48" s="3"/>
      <c r="AR48" s="1213"/>
      <c r="AS48" s="1213"/>
      <c r="AT48" s="1213"/>
      <c r="AU48" s="1213"/>
      <c r="AV48" s="1213"/>
      <c r="AW48" s="1213"/>
      <c r="AX48" s="1213"/>
      <c r="AY48" s="1213"/>
      <c r="AZ48" s="1213"/>
      <c r="BA48" s="1213"/>
      <c r="BB48" s="1213"/>
      <c r="BC48" s="1213"/>
      <c r="BD48" s="1213"/>
      <c r="BE48" s="1213"/>
      <c r="BF48" s="1213"/>
      <c r="BG48" s="1213"/>
      <c r="BH48" s="1213"/>
      <c r="BI48" s="1213"/>
      <c r="BJ48" s="1213"/>
      <c r="BK48" s="1213"/>
      <c r="BL48" s="1213"/>
      <c r="BM48" s="1213"/>
      <c r="BN48" s="1213"/>
      <c r="BO48" s="1213"/>
      <c r="BP48" s="1213"/>
      <c r="BQ48" s="1213"/>
      <c r="BR48" s="1213"/>
      <c r="BS48" s="1213"/>
      <c r="BT48" s="1213"/>
      <c r="BU48" s="1213"/>
      <c r="BV48" s="3"/>
      <c r="BW48" s="1172">
        <v>241</v>
      </c>
      <c r="BX48" s="1173" t="s">
        <v>187</v>
      </c>
      <c r="BY48" s="1173"/>
      <c r="BZ48" s="1175">
        <v>0</v>
      </c>
      <c r="CA48" s="1175">
        <v>0</v>
      </c>
      <c r="CB48" s="1175">
        <v>0</v>
      </c>
      <c r="CC48" s="1175">
        <v>0</v>
      </c>
      <c r="CD48" s="1175">
        <v>0</v>
      </c>
      <c r="CE48" s="1175">
        <v>0</v>
      </c>
      <c r="CF48" s="1175">
        <v>0</v>
      </c>
      <c r="CG48" s="1175">
        <v>0</v>
      </c>
      <c r="CH48" s="1175">
        <v>0</v>
      </c>
      <c r="CI48" s="1175">
        <v>0</v>
      </c>
      <c r="CJ48" s="1175">
        <v>0</v>
      </c>
      <c r="CK48" s="1175">
        <v>0</v>
      </c>
      <c r="CL48" s="1175">
        <v>0</v>
      </c>
      <c r="CM48" s="1175">
        <v>0</v>
      </c>
      <c r="CN48" s="1175">
        <v>0</v>
      </c>
      <c r="CO48" s="1175">
        <v>0</v>
      </c>
    </row>
    <row r="49" spans="1:93" s="769" customFormat="1" ht="15.75" customHeight="1" thickTop="1" thickBot="1" x14ac:dyDescent="0.35">
      <c r="A49" s="1205"/>
      <c r="C49" s="1192"/>
      <c r="D49" s="1192"/>
      <c r="E49" s="1192"/>
      <c r="F49" s="1193"/>
      <c r="G49" s="1194"/>
      <c r="H49" s="1196"/>
      <c r="I49" s="1195"/>
      <c r="K49" s="1197"/>
      <c r="L49" s="1197"/>
      <c r="M49" s="1197"/>
      <c r="N49" s="1197"/>
      <c r="O49" s="1197"/>
      <c r="P49" s="1197"/>
      <c r="Q49" s="1197"/>
      <c r="R49" s="1197"/>
      <c r="S49" s="1197"/>
      <c r="T49" s="1197"/>
      <c r="U49" s="1197"/>
      <c r="V49" s="1197"/>
      <c r="W49" s="1197"/>
      <c r="X49" s="1197"/>
      <c r="Y49" s="1197"/>
      <c r="Z49" s="1197"/>
      <c r="AA49" s="1197"/>
      <c r="AB49" s="1197"/>
      <c r="AC49" s="1197"/>
      <c r="AD49" s="1197"/>
      <c r="AE49" s="1197"/>
      <c r="AF49" s="1197"/>
      <c r="AG49" s="1197"/>
      <c r="AH49" s="1197"/>
      <c r="AI49" s="1197"/>
      <c r="AJ49" s="1197"/>
      <c r="AK49" s="1197"/>
      <c r="AL49" s="1197"/>
      <c r="AM49" s="1197"/>
      <c r="AN49" s="1197"/>
      <c r="AO49" s="3"/>
      <c r="AP49" s="1212"/>
      <c r="AQ49" s="3"/>
      <c r="AR49" s="1213"/>
      <c r="AS49" s="1213"/>
      <c r="AT49" s="1213"/>
      <c r="AU49" s="1213"/>
      <c r="AV49" s="1213"/>
      <c r="AW49" s="1213"/>
      <c r="AX49" s="1213"/>
      <c r="AY49" s="1213"/>
      <c r="AZ49" s="1213"/>
      <c r="BA49" s="1213"/>
      <c r="BB49" s="1213"/>
      <c r="BC49" s="1213"/>
      <c r="BD49" s="1213"/>
      <c r="BE49" s="1213"/>
      <c r="BF49" s="1213"/>
      <c r="BG49" s="1213"/>
      <c r="BH49" s="1213"/>
      <c r="BI49" s="1213"/>
      <c r="BJ49" s="1213"/>
      <c r="BK49" s="1213"/>
      <c r="BL49" s="1213"/>
      <c r="BM49" s="1213"/>
      <c r="BN49" s="1213"/>
      <c r="BO49" s="1213"/>
      <c r="BP49" s="1213"/>
      <c r="BQ49" s="1213"/>
      <c r="BR49" s="1213"/>
      <c r="BS49" s="1213"/>
      <c r="BT49" s="1213"/>
      <c r="BU49" s="1213"/>
      <c r="BV49" s="3"/>
      <c r="BW49" s="1172">
        <v>245</v>
      </c>
      <c r="BX49" s="1173" t="s">
        <v>188</v>
      </c>
      <c r="BY49" s="1173"/>
      <c r="BZ49" s="1175">
        <v>0</v>
      </c>
      <c r="CA49" s="1175">
        <v>0</v>
      </c>
      <c r="CB49" s="1175">
        <v>0</v>
      </c>
      <c r="CC49" s="1175">
        <v>0</v>
      </c>
      <c r="CD49" s="1175">
        <v>0</v>
      </c>
      <c r="CE49" s="1175">
        <v>0</v>
      </c>
      <c r="CF49" s="1175">
        <v>0</v>
      </c>
      <c r="CG49" s="1175">
        <v>0</v>
      </c>
      <c r="CH49" s="1175">
        <v>0</v>
      </c>
      <c r="CI49" s="1175">
        <v>0</v>
      </c>
      <c r="CJ49" s="1175">
        <v>0</v>
      </c>
      <c r="CK49" s="1175">
        <v>0</v>
      </c>
      <c r="CL49" s="1175">
        <v>0</v>
      </c>
      <c r="CM49" s="1175">
        <v>0</v>
      </c>
      <c r="CN49" s="1175">
        <v>0</v>
      </c>
      <c r="CO49" s="1175">
        <v>0</v>
      </c>
    </row>
    <row r="50" spans="1:93" s="769" customFormat="1" ht="15.75" customHeight="1" thickTop="1" thickBot="1" x14ac:dyDescent="0.35">
      <c r="A50" s="1205"/>
      <c r="C50" s="1192"/>
      <c r="D50" s="1192"/>
      <c r="E50" s="1192"/>
      <c r="F50" s="1193"/>
      <c r="G50" s="1194"/>
      <c r="H50" s="1196"/>
      <c r="I50" s="1195"/>
      <c r="K50" s="1197"/>
      <c r="L50" s="1197"/>
      <c r="M50" s="1197"/>
      <c r="N50" s="1197"/>
      <c r="O50" s="1197"/>
      <c r="P50" s="1197"/>
      <c r="Q50" s="1197"/>
      <c r="R50" s="1197"/>
      <c r="S50" s="1197"/>
      <c r="T50" s="1197"/>
      <c r="U50" s="1197"/>
      <c r="V50" s="1197"/>
      <c r="W50" s="1197"/>
      <c r="X50" s="1197"/>
      <c r="Y50" s="1197"/>
      <c r="Z50" s="1197"/>
      <c r="AA50" s="1197"/>
      <c r="AB50" s="1197"/>
      <c r="AC50" s="1197"/>
      <c r="AD50" s="1197"/>
      <c r="AE50" s="1197"/>
      <c r="AF50" s="1197"/>
      <c r="AG50" s="1197"/>
      <c r="AH50" s="1197"/>
      <c r="AI50" s="1197"/>
      <c r="AJ50" s="1197"/>
      <c r="AK50" s="1197"/>
      <c r="AL50" s="1197"/>
      <c r="AM50" s="1197"/>
      <c r="AN50" s="1197"/>
      <c r="AO50" s="3"/>
      <c r="AP50" s="1212"/>
      <c r="AQ50" s="3"/>
      <c r="AR50" s="1213"/>
      <c r="AS50" s="1213"/>
      <c r="AT50" s="1213"/>
      <c r="AU50" s="1213"/>
      <c r="AV50" s="1213"/>
      <c r="AW50" s="1213"/>
      <c r="AX50" s="1213"/>
      <c r="AY50" s="1213"/>
      <c r="AZ50" s="1213"/>
      <c r="BA50" s="1213"/>
      <c r="BB50" s="1213"/>
      <c r="BC50" s="1213"/>
      <c r="BD50" s="1213"/>
      <c r="BE50" s="1213"/>
      <c r="BF50" s="1213"/>
      <c r="BG50" s="1213"/>
      <c r="BH50" s="1213"/>
      <c r="BI50" s="1213"/>
      <c r="BJ50" s="1213"/>
      <c r="BK50" s="1213"/>
      <c r="BL50" s="1213"/>
      <c r="BM50" s="1213"/>
      <c r="BN50" s="1213"/>
      <c r="BO50" s="1213"/>
      <c r="BP50" s="1213"/>
      <c r="BQ50" s="1213"/>
      <c r="BR50" s="1213"/>
      <c r="BS50" s="1213"/>
      <c r="BT50" s="1213"/>
      <c r="BU50" s="1213"/>
      <c r="BV50" s="3"/>
      <c r="BW50" s="1172">
        <v>246</v>
      </c>
      <c r="BX50" s="1173" t="s">
        <v>189</v>
      </c>
      <c r="BY50" s="1173"/>
      <c r="BZ50" s="1175">
        <v>0</v>
      </c>
      <c r="CA50" s="1176">
        <v>0.2</v>
      </c>
      <c r="CB50" s="1176">
        <v>0.3</v>
      </c>
      <c r="CC50" s="1176">
        <v>0.5</v>
      </c>
      <c r="CD50" s="1176">
        <v>0.65</v>
      </c>
      <c r="CE50" s="1176">
        <v>0.85</v>
      </c>
      <c r="CF50" s="1176">
        <v>1</v>
      </c>
      <c r="CG50" s="1176">
        <v>1.3</v>
      </c>
      <c r="CH50" s="1176">
        <v>2</v>
      </c>
      <c r="CI50" s="1176">
        <v>2.2999999999999998</v>
      </c>
      <c r="CJ50" s="1176">
        <v>3</v>
      </c>
      <c r="CK50" s="1175">
        <v>0</v>
      </c>
      <c r="CL50" s="1175">
        <v>0</v>
      </c>
      <c r="CM50" s="1175">
        <v>0</v>
      </c>
      <c r="CN50" s="1175">
        <v>0</v>
      </c>
      <c r="CO50" s="1175">
        <v>0</v>
      </c>
    </row>
    <row r="51" spans="1:93" s="769" customFormat="1" ht="15" thickTop="1" thickBot="1" x14ac:dyDescent="0.35">
      <c r="A51" s="1205"/>
      <c r="C51" s="1192"/>
      <c r="D51" s="1192"/>
      <c r="E51" s="1192"/>
      <c r="F51" s="1193"/>
      <c r="G51" s="1194"/>
      <c r="H51" s="1196"/>
      <c r="I51" s="1195"/>
      <c r="K51" s="1197"/>
      <c r="L51" s="1197"/>
      <c r="M51" s="1197"/>
      <c r="N51" s="1197"/>
      <c r="O51" s="1197"/>
      <c r="P51" s="1197"/>
      <c r="Q51" s="1197"/>
      <c r="R51" s="1197"/>
      <c r="S51" s="1197"/>
      <c r="T51" s="1197"/>
      <c r="U51" s="1197"/>
      <c r="V51" s="1197"/>
      <c r="W51" s="1197"/>
      <c r="X51" s="1197"/>
      <c r="Y51" s="1197"/>
      <c r="Z51" s="1197"/>
      <c r="AA51" s="1197"/>
      <c r="AB51" s="1197"/>
      <c r="AC51" s="1197"/>
      <c r="AD51" s="1197"/>
      <c r="AE51" s="1197"/>
      <c r="AF51" s="1197"/>
      <c r="AG51" s="1197"/>
      <c r="AH51" s="1197"/>
      <c r="AI51" s="1197"/>
      <c r="AJ51" s="1197"/>
      <c r="AK51" s="1197"/>
      <c r="AL51" s="1197"/>
      <c r="AM51" s="1197"/>
      <c r="AN51" s="1197"/>
      <c r="AO51" s="3"/>
      <c r="AP51" s="1212"/>
      <c r="AQ51" s="3"/>
      <c r="AR51" s="1213"/>
      <c r="AS51" s="1213"/>
      <c r="AT51" s="1213"/>
      <c r="AU51" s="1213"/>
      <c r="AV51" s="1213"/>
      <c r="AW51" s="1213"/>
      <c r="AX51" s="1213"/>
      <c r="AY51" s="1213"/>
      <c r="AZ51" s="1213"/>
      <c r="BA51" s="1213"/>
      <c r="BB51" s="1213"/>
      <c r="BC51" s="1213"/>
      <c r="BD51" s="1213"/>
      <c r="BE51" s="1213"/>
      <c r="BF51" s="1213"/>
      <c r="BG51" s="1213"/>
      <c r="BH51" s="1213"/>
      <c r="BI51" s="1213"/>
      <c r="BJ51" s="1213"/>
      <c r="BK51" s="1213"/>
      <c r="BL51" s="1213"/>
      <c r="BM51" s="1213"/>
      <c r="BN51" s="1213"/>
      <c r="BO51" s="1213"/>
      <c r="BP51" s="1213"/>
      <c r="BQ51" s="1213"/>
      <c r="BR51" s="1213"/>
      <c r="BS51" s="1213"/>
      <c r="BT51" s="1213"/>
      <c r="BU51" s="1213"/>
      <c r="BV51" s="3"/>
      <c r="BW51" s="1172">
        <v>270</v>
      </c>
      <c r="BX51" s="1173" t="s">
        <v>190</v>
      </c>
      <c r="BY51" s="1173"/>
      <c r="BZ51" s="1176">
        <v>0.01</v>
      </c>
      <c r="CA51" s="1176">
        <v>0.01</v>
      </c>
      <c r="CB51" s="1176">
        <v>0.01</v>
      </c>
      <c r="CC51" s="1176">
        <v>0.02</v>
      </c>
      <c r="CD51" s="1176">
        <v>0.03</v>
      </c>
      <c r="CE51" s="1176">
        <v>0.04</v>
      </c>
      <c r="CF51" s="1176">
        <v>0.05</v>
      </c>
      <c r="CG51" s="1176">
        <v>0.06</v>
      </c>
      <c r="CH51" s="1176">
        <v>0.09</v>
      </c>
      <c r="CI51" s="1176">
        <v>0.12</v>
      </c>
      <c r="CJ51" s="1176">
        <v>0.15</v>
      </c>
      <c r="CK51" s="1176">
        <v>0.2</v>
      </c>
      <c r="CL51" s="1176">
        <v>0.3</v>
      </c>
      <c r="CM51" s="1175">
        <v>0</v>
      </c>
      <c r="CN51" s="1175">
        <v>0</v>
      </c>
      <c r="CO51" s="1175">
        <v>0</v>
      </c>
    </row>
    <row r="52" spans="1:93" s="769" customFormat="1" ht="15" thickTop="1" thickBot="1" x14ac:dyDescent="0.35">
      <c r="A52" s="1205"/>
      <c r="C52" s="1192"/>
      <c r="D52" s="1192"/>
      <c r="E52" s="1192"/>
      <c r="F52" s="1193"/>
      <c r="G52" s="1194"/>
      <c r="H52" s="1196"/>
      <c r="I52" s="1195"/>
      <c r="K52" s="1197"/>
      <c r="L52" s="1197"/>
      <c r="M52" s="1197"/>
      <c r="N52" s="1197"/>
      <c r="O52" s="1197"/>
      <c r="P52" s="1197"/>
      <c r="Q52" s="1197"/>
      <c r="R52" s="1197"/>
      <c r="S52" s="1197"/>
      <c r="T52" s="1197"/>
      <c r="U52" s="1197"/>
      <c r="V52" s="1197"/>
      <c r="W52" s="1197"/>
      <c r="X52" s="1197"/>
      <c r="Y52" s="1197"/>
      <c r="Z52" s="1197"/>
      <c r="AA52" s="1197"/>
      <c r="AB52" s="1197"/>
      <c r="AC52" s="1197"/>
      <c r="AD52" s="1197"/>
      <c r="AE52" s="1197"/>
      <c r="AF52" s="1197"/>
      <c r="AG52" s="1197"/>
      <c r="AH52" s="1197"/>
      <c r="AI52" s="1197"/>
      <c r="AJ52" s="1197"/>
      <c r="AK52" s="1197"/>
      <c r="AL52" s="1197"/>
      <c r="AM52" s="1197"/>
      <c r="AN52" s="1197"/>
      <c r="AO52" s="3"/>
      <c r="AP52" s="1212"/>
      <c r="AQ52" s="3"/>
      <c r="AR52" s="1213"/>
      <c r="AS52" s="1213"/>
      <c r="AT52" s="1213"/>
      <c r="AU52" s="1213"/>
      <c r="AV52" s="1213"/>
      <c r="AW52" s="1213"/>
      <c r="AX52" s="1213"/>
      <c r="AY52" s="1213"/>
      <c r="AZ52" s="1213"/>
      <c r="BA52" s="1213"/>
      <c r="BB52" s="1213"/>
      <c r="BC52" s="1213"/>
      <c r="BD52" s="1213"/>
      <c r="BE52" s="1213"/>
      <c r="BF52" s="1213"/>
      <c r="BG52" s="1213"/>
      <c r="BH52" s="1213"/>
      <c r="BI52" s="1213"/>
      <c r="BJ52" s="1213"/>
      <c r="BK52" s="1213"/>
      <c r="BL52" s="1213"/>
      <c r="BM52" s="1213"/>
      <c r="BN52" s="1213"/>
      <c r="BO52" s="1213"/>
      <c r="BP52" s="1213"/>
      <c r="BQ52" s="1213"/>
      <c r="BR52" s="1213"/>
      <c r="BS52" s="1213"/>
      <c r="BT52" s="1213"/>
      <c r="BU52" s="1213"/>
      <c r="BV52" s="3"/>
      <c r="BW52" s="1172">
        <v>271</v>
      </c>
      <c r="BX52" s="1173" t="s">
        <v>191</v>
      </c>
      <c r="BY52" s="1173"/>
      <c r="BZ52" s="1176">
        <v>0.01</v>
      </c>
      <c r="CA52" s="1176">
        <v>0.01</v>
      </c>
      <c r="CB52" s="1176">
        <v>0.01</v>
      </c>
      <c r="CC52" s="1176">
        <v>0.02</v>
      </c>
      <c r="CD52" s="1176">
        <v>0.03</v>
      </c>
      <c r="CE52" s="1176">
        <v>0.04</v>
      </c>
      <c r="CF52" s="1176">
        <v>0.05</v>
      </c>
      <c r="CG52" s="1176">
        <v>0.06</v>
      </c>
      <c r="CH52" s="1176">
        <v>0.09</v>
      </c>
      <c r="CI52" s="1176">
        <v>0.12</v>
      </c>
      <c r="CJ52" s="1176">
        <v>0.15</v>
      </c>
      <c r="CK52" s="1176">
        <v>0.2</v>
      </c>
      <c r="CL52" s="1176">
        <v>0.3</v>
      </c>
      <c r="CM52" s="1175">
        <v>0</v>
      </c>
      <c r="CN52" s="1175">
        <v>0</v>
      </c>
      <c r="CO52" s="1175">
        <v>0</v>
      </c>
    </row>
    <row r="53" spans="1:93" s="769" customFormat="1" ht="15" thickTop="1" thickBot="1" x14ac:dyDescent="0.35">
      <c r="A53" s="1205"/>
      <c r="C53" s="1192"/>
      <c r="D53" s="1192"/>
      <c r="E53" s="1192"/>
      <c r="F53" s="1193"/>
      <c r="G53" s="1194"/>
      <c r="H53" s="1196"/>
      <c r="I53" s="1195"/>
      <c r="K53" s="1197"/>
      <c r="L53" s="1197"/>
      <c r="M53" s="1197"/>
      <c r="N53" s="1197"/>
      <c r="O53" s="1197"/>
      <c r="P53" s="1197"/>
      <c r="Q53" s="1197"/>
      <c r="R53" s="1197"/>
      <c r="S53" s="1197"/>
      <c r="T53" s="1197"/>
      <c r="U53" s="1197"/>
      <c r="V53" s="1197"/>
      <c r="W53" s="1197"/>
      <c r="X53" s="1197"/>
      <c r="Y53" s="1197"/>
      <c r="Z53" s="1197"/>
      <c r="AA53" s="1197"/>
      <c r="AB53" s="1197"/>
      <c r="AC53" s="1197"/>
      <c r="AD53" s="1197"/>
      <c r="AE53" s="1197"/>
      <c r="AF53" s="1197"/>
      <c r="AG53" s="1197"/>
      <c r="AH53" s="1197"/>
      <c r="AI53" s="1197"/>
      <c r="AJ53" s="1197"/>
      <c r="AK53" s="1197"/>
      <c r="AL53" s="1197"/>
      <c r="AM53" s="1197"/>
      <c r="AN53" s="1197"/>
      <c r="AO53" s="3"/>
      <c r="AP53" s="1212"/>
      <c r="AQ53" s="3"/>
      <c r="AR53" s="1213"/>
      <c r="AS53" s="1213"/>
      <c r="AT53" s="1213"/>
      <c r="AU53" s="1213"/>
      <c r="AV53" s="1213"/>
      <c r="AW53" s="1213"/>
      <c r="AX53" s="1213"/>
      <c r="AY53" s="1213"/>
      <c r="AZ53" s="1213"/>
      <c r="BA53" s="1213"/>
      <c r="BB53" s="1213"/>
      <c r="BC53" s="1213"/>
      <c r="BD53" s="1213"/>
      <c r="BE53" s="1213"/>
      <c r="BF53" s="1213"/>
      <c r="BG53" s="1213"/>
      <c r="BH53" s="1213"/>
      <c r="BI53" s="1213"/>
      <c r="BJ53" s="1213"/>
      <c r="BK53" s="1213"/>
      <c r="BL53" s="1213"/>
      <c r="BM53" s="1213"/>
      <c r="BN53" s="1213"/>
      <c r="BO53" s="1213"/>
      <c r="BP53" s="1213"/>
      <c r="BQ53" s="1213"/>
      <c r="BR53" s="1213"/>
      <c r="BS53" s="1213"/>
      <c r="BT53" s="1213"/>
      <c r="BU53" s="1213"/>
      <c r="BV53" s="3"/>
      <c r="BW53" s="1172">
        <v>280</v>
      </c>
      <c r="BX53" s="1173" t="s">
        <v>192</v>
      </c>
      <c r="BY53" s="1173"/>
      <c r="BZ53" s="1175">
        <v>0</v>
      </c>
      <c r="CA53" s="1175">
        <v>0</v>
      </c>
      <c r="CB53" s="1175">
        <v>0</v>
      </c>
      <c r="CC53" s="1175">
        <v>0</v>
      </c>
      <c r="CD53" s="1175">
        <v>0</v>
      </c>
      <c r="CE53" s="1175">
        <v>0</v>
      </c>
      <c r="CF53" s="1175">
        <v>0</v>
      </c>
      <c r="CG53" s="1175">
        <v>0</v>
      </c>
      <c r="CH53" s="1175">
        <v>0</v>
      </c>
      <c r="CI53" s="1175">
        <v>0</v>
      </c>
      <c r="CJ53" s="1175">
        <v>0</v>
      </c>
      <c r="CK53" s="1175">
        <v>0</v>
      </c>
      <c r="CL53" s="1175">
        <v>0</v>
      </c>
      <c r="CM53" s="1175">
        <v>0</v>
      </c>
      <c r="CN53" s="1175">
        <v>0</v>
      </c>
      <c r="CO53" s="1175">
        <v>0</v>
      </c>
    </row>
    <row r="54" spans="1:93" s="769" customFormat="1" ht="15" thickTop="1" thickBot="1" x14ac:dyDescent="0.35">
      <c r="A54" s="1205"/>
      <c r="C54" s="1192"/>
      <c r="D54" s="1192"/>
      <c r="E54" s="1192"/>
      <c r="F54" s="1193"/>
      <c r="G54" s="1194"/>
      <c r="H54" s="1196"/>
      <c r="I54" s="1195"/>
      <c r="K54" s="1197"/>
      <c r="L54" s="1197"/>
      <c r="M54" s="1197"/>
      <c r="N54" s="1197"/>
      <c r="O54" s="1197"/>
      <c r="P54" s="1197"/>
      <c r="Q54" s="1197"/>
      <c r="R54" s="1197"/>
      <c r="S54" s="1197"/>
      <c r="T54" s="1197"/>
      <c r="U54" s="1197"/>
      <c r="V54" s="1197"/>
      <c r="W54" s="1197"/>
      <c r="X54" s="1197"/>
      <c r="Y54" s="1197"/>
      <c r="Z54" s="1197"/>
      <c r="AA54" s="1197"/>
      <c r="AB54" s="1197"/>
      <c r="AC54" s="1197"/>
      <c r="AD54" s="1197"/>
      <c r="AE54" s="1197"/>
      <c r="AF54" s="1197"/>
      <c r="AG54" s="1197"/>
      <c r="AH54" s="1197"/>
      <c r="AI54" s="1197"/>
      <c r="AJ54" s="1197"/>
      <c r="AK54" s="1197"/>
      <c r="AL54" s="1197"/>
      <c r="AM54" s="1197"/>
      <c r="AN54" s="1197"/>
      <c r="AO54" s="3"/>
      <c r="AP54" s="1212"/>
      <c r="AQ54" s="3"/>
      <c r="AR54" s="1213"/>
      <c r="AS54" s="1213"/>
      <c r="AT54" s="1213"/>
      <c r="AU54" s="1213"/>
      <c r="AV54" s="1213"/>
      <c r="AW54" s="1213"/>
      <c r="AX54" s="1213"/>
      <c r="AY54" s="1213"/>
      <c r="AZ54" s="1213"/>
      <c r="BA54" s="1213"/>
      <c r="BB54" s="1213"/>
      <c r="BC54" s="1213"/>
      <c r="BD54" s="1213"/>
      <c r="BE54" s="1213"/>
      <c r="BF54" s="1213"/>
      <c r="BG54" s="1213"/>
      <c r="BH54" s="1213"/>
      <c r="BI54" s="1213"/>
      <c r="BJ54" s="1213"/>
      <c r="BK54" s="1213"/>
      <c r="BL54" s="1213"/>
      <c r="BM54" s="1213"/>
      <c r="BN54" s="1213"/>
      <c r="BO54" s="1213"/>
      <c r="BP54" s="1213"/>
      <c r="BQ54" s="1213"/>
      <c r="BR54" s="1213"/>
      <c r="BS54" s="1213"/>
      <c r="BT54" s="1213"/>
      <c r="BU54" s="1213"/>
      <c r="BV54" s="3"/>
      <c r="BW54" s="1172">
        <v>281</v>
      </c>
      <c r="BX54" s="1173" t="s">
        <v>193</v>
      </c>
      <c r="BY54" s="1173"/>
      <c r="BZ54" s="1175">
        <v>0</v>
      </c>
      <c r="CA54" s="1175">
        <v>0</v>
      </c>
      <c r="CB54" s="1175">
        <v>0</v>
      </c>
      <c r="CC54" s="1175">
        <v>0</v>
      </c>
      <c r="CD54" s="1175">
        <v>0</v>
      </c>
      <c r="CE54" s="1175">
        <v>0</v>
      </c>
      <c r="CF54" s="1175">
        <v>0</v>
      </c>
      <c r="CG54" s="1175">
        <v>0</v>
      </c>
      <c r="CH54" s="1175">
        <v>0</v>
      </c>
      <c r="CI54" s="1175">
        <v>0</v>
      </c>
      <c r="CJ54" s="1175">
        <v>0</v>
      </c>
      <c r="CK54" s="1175">
        <v>0</v>
      </c>
      <c r="CL54" s="1175">
        <v>0</v>
      </c>
      <c r="CM54" s="1175">
        <v>0</v>
      </c>
      <c r="CN54" s="1175">
        <v>0</v>
      </c>
      <c r="CO54" s="1175">
        <v>0</v>
      </c>
    </row>
    <row r="55" spans="1:93" s="769" customFormat="1" ht="15" thickTop="1" thickBot="1" x14ac:dyDescent="0.35">
      <c r="A55" s="1205"/>
      <c r="C55" s="1192"/>
      <c r="D55" s="1192"/>
      <c r="E55" s="1192"/>
      <c r="F55" s="1193"/>
      <c r="G55" s="1194"/>
      <c r="H55" s="1196"/>
      <c r="I55" s="1195"/>
      <c r="K55" s="1197"/>
      <c r="L55" s="1197"/>
      <c r="M55" s="1197"/>
      <c r="N55" s="1197"/>
      <c r="O55" s="1197"/>
      <c r="P55" s="1197"/>
      <c r="Q55" s="1197"/>
      <c r="R55" s="1197"/>
      <c r="S55" s="1197"/>
      <c r="T55" s="1197"/>
      <c r="U55" s="1197"/>
      <c r="V55" s="1197"/>
      <c r="W55" s="1197"/>
      <c r="X55" s="1197"/>
      <c r="Y55" s="1197"/>
      <c r="Z55" s="1197"/>
      <c r="AA55" s="1197"/>
      <c r="AB55" s="1197"/>
      <c r="AC55" s="1197"/>
      <c r="AD55" s="1197"/>
      <c r="AE55" s="1197"/>
      <c r="AF55" s="1197"/>
      <c r="AG55" s="1197"/>
      <c r="AH55" s="1197"/>
      <c r="AI55" s="1197"/>
      <c r="AJ55" s="1197"/>
      <c r="AK55" s="1197"/>
      <c r="AL55" s="1197"/>
      <c r="AM55" s="1197"/>
      <c r="AN55" s="1197"/>
      <c r="AO55" s="3"/>
      <c r="AP55" s="1212"/>
      <c r="AQ55" s="3"/>
      <c r="AR55" s="1213"/>
      <c r="AS55" s="1213"/>
      <c r="AT55" s="1213"/>
      <c r="AU55" s="1213"/>
      <c r="AV55" s="1213"/>
      <c r="AW55" s="1213"/>
      <c r="AX55" s="1213"/>
      <c r="AY55" s="1213"/>
      <c r="AZ55" s="1213"/>
      <c r="BA55" s="1213"/>
      <c r="BB55" s="1213"/>
      <c r="BC55" s="1213"/>
      <c r="BD55" s="1213"/>
      <c r="BE55" s="1213"/>
      <c r="BF55" s="1213"/>
      <c r="BG55" s="1213"/>
      <c r="BH55" s="1213"/>
      <c r="BI55" s="1213"/>
      <c r="BJ55" s="1213"/>
      <c r="BK55" s="1213"/>
      <c r="BL55" s="1213"/>
      <c r="BM55" s="1213"/>
      <c r="BN55" s="1213"/>
      <c r="BO55" s="1213"/>
      <c r="BP55" s="1213"/>
      <c r="BQ55" s="1213"/>
      <c r="BR55" s="1213"/>
      <c r="BS55" s="1213"/>
      <c r="BT55" s="1213"/>
      <c r="BU55" s="1213"/>
      <c r="BV55" s="3"/>
      <c r="BW55" s="1172">
        <v>330</v>
      </c>
      <c r="BX55" s="1173" t="s">
        <v>805</v>
      </c>
      <c r="BY55" s="1173"/>
      <c r="BZ55" s="1176">
        <v>0.01</v>
      </c>
      <c r="CA55" s="1176">
        <v>0.01</v>
      </c>
      <c r="CB55" s="1176">
        <v>0.01</v>
      </c>
      <c r="CC55" s="1176">
        <v>0.02</v>
      </c>
      <c r="CD55" s="1176">
        <v>0.03</v>
      </c>
      <c r="CE55" s="1176">
        <v>0.04</v>
      </c>
      <c r="CF55" s="1176">
        <v>0.05</v>
      </c>
      <c r="CG55" s="1176">
        <v>0.06</v>
      </c>
      <c r="CH55" s="1176">
        <v>0.09</v>
      </c>
      <c r="CI55" s="1176">
        <v>0.12</v>
      </c>
      <c r="CJ55" s="1176">
        <v>0.15</v>
      </c>
      <c r="CK55" s="1175">
        <v>0</v>
      </c>
      <c r="CL55" s="1175">
        <v>0</v>
      </c>
      <c r="CM55" s="1175">
        <v>0</v>
      </c>
      <c r="CN55" s="1175">
        <v>0</v>
      </c>
      <c r="CO55" s="1175">
        <v>0</v>
      </c>
    </row>
    <row r="56" spans="1:93" s="769" customFormat="1" ht="15" thickTop="1" thickBot="1" x14ac:dyDescent="0.35">
      <c r="A56" s="1205"/>
      <c r="C56" s="1192"/>
      <c r="D56" s="1192"/>
      <c r="E56" s="1192"/>
      <c r="F56" s="1193"/>
      <c r="G56" s="1194"/>
      <c r="H56" s="1196"/>
      <c r="I56" s="1195"/>
      <c r="K56" s="1197"/>
      <c r="L56" s="1197"/>
      <c r="M56" s="1197"/>
      <c r="N56" s="1197"/>
      <c r="O56" s="1197"/>
      <c r="P56" s="1197"/>
      <c r="Q56" s="1197"/>
      <c r="R56" s="1197"/>
      <c r="S56" s="1197"/>
      <c r="T56" s="1197"/>
      <c r="U56" s="1197"/>
      <c r="V56" s="1197"/>
      <c r="W56" s="1197"/>
      <c r="X56" s="1197"/>
      <c r="Y56" s="1197"/>
      <c r="Z56" s="1197"/>
      <c r="AA56" s="1197"/>
      <c r="AB56" s="1197"/>
      <c r="AC56" s="1197"/>
      <c r="AD56" s="1197"/>
      <c r="AE56" s="1197"/>
      <c r="AF56" s="1197"/>
      <c r="AG56" s="1197"/>
      <c r="AH56" s="1197"/>
      <c r="AI56" s="1197"/>
      <c r="AJ56" s="1197"/>
      <c r="AK56" s="1197"/>
      <c r="AL56" s="1197"/>
      <c r="AM56" s="1197"/>
      <c r="AN56" s="1197"/>
      <c r="AO56" s="3"/>
      <c r="AP56" s="1212"/>
      <c r="AQ56" s="3"/>
      <c r="AR56" s="1213"/>
      <c r="AS56" s="1213"/>
      <c r="AT56" s="1213"/>
      <c r="AU56" s="1213"/>
      <c r="AV56" s="1213"/>
      <c r="AW56" s="1213"/>
      <c r="AX56" s="1213"/>
      <c r="AY56" s="1213"/>
      <c r="AZ56" s="1213"/>
      <c r="BA56" s="1213"/>
      <c r="BB56" s="1213"/>
      <c r="BC56" s="1213"/>
      <c r="BD56" s="1213"/>
      <c r="BE56" s="1213"/>
      <c r="BF56" s="1213"/>
      <c r="BG56" s="1213"/>
      <c r="BH56" s="1213"/>
      <c r="BI56" s="1213"/>
      <c r="BJ56" s="1213"/>
      <c r="BK56" s="1213"/>
      <c r="BL56" s="1213"/>
      <c r="BM56" s="1213"/>
      <c r="BN56" s="1213"/>
      <c r="BO56" s="1213"/>
      <c r="BP56" s="1213"/>
      <c r="BQ56" s="1213"/>
      <c r="BR56" s="1213"/>
      <c r="BS56" s="1213"/>
      <c r="BT56" s="1213"/>
      <c r="BU56" s="1213"/>
      <c r="BV56" s="3"/>
      <c r="BW56" s="1172">
        <v>331</v>
      </c>
      <c r="BX56" s="1173" t="s">
        <v>806</v>
      </c>
      <c r="BY56" s="1173"/>
      <c r="BZ56" s="1176">
        <v>0.01</v>
      </c>
      <c r="CA56" s="1176">
        <v>0.01</v>
      </c>
      <c r="CB56" s="1176">
        <v>0.01</v>
      </c>
      <c r="CC56" s="1176">
        <v>0.02</v>
      </c>
      <c r="CD56" s="1176">
        <v>0.03</v>
      </c>
      <c r="CE56" s="1176">
        <v>0.04</v>
      </c>
      <c r="CF56" s="1176">
        <v>0.05</v>
      </c>
      <c r="CG56" s="1176">
        <v>0.06</v>
      </c>
      <c r="CH56" s="1176">
        <v>0.09</v>
      </c>
      <c r="CI56" s="1176">
        <v>0.12</v>
      </c>
      <c r="CJ56" s="1176">
        <v>0.15</v>
      </c>
      <c r="CK56" s="1175">
        <v>0</v>
      </c>
      <c r="CL56" s="1175">
        <v>0</v>
      </c>
      <c r="CM56" s="1175">
        <v>0</v>
      </c>
      <c r="CN56" s="1175">
        <v>0</v>
      </c>
      <c r="CO56" s="1175">
        <v>0</v>
      </c>
    </row>
    <row r="57" spans="1:93" s="769" customFormat="1" ht="15" thickTop="1" thickBot="1" x14ac:dyDescent="0.35">
      <c r="A57" s="1205"/>
      <c r="C57" s="1192"/>
      <c r="D57" s="1192"/>
      <c r="E57" s="1192"/>
      <c r="F57" s="1193"/>
      <c r="G57" s="1194"/>
      <c r="H57" s="1196"/>
      <c r="I57" s="1195"/>
      <c r="K57" s="1197"/>
      <c r="L57" s="1197"/>
      <c r="M57" s="1197"/>
      <c r="N57" s="1197"/>
      <c r="O57" s="1197"/>
      <c r="P57" s="1197"/>
      <c r="Q57" s="1197"/>
      <c r="R57" s="1197"/>
      <c r="S57" s="1197"/>
      <c r="T57" s="1197"/>
      <c r="U57" s="1197"/>
      <c r="V57" s="1197"/>
      <c r="W57" s="1197"/>
      <c r="X57" s="1197"/>
      <c r="Y57" s="1197"/>
      <c r="Z57" s="1197"/>
      <c r="AA57" s="1197"/>
      <c r="AB57" s="1197"/>
      <c r="AC57" s="1197"/>
      <c r="AD57" s="1197"/>
      <c r="AE57" s="1197"/>
      <c r="AF57" s="1197"/>
      <c r="AG57" s="1197"/>
      <c r="AH57" s="1197"/>
      <c r="AI57" s="1197"/>
      <c r="AJ57" s="1197"/>
      <c r="AK57" s="1197"/>
      <c r="AL57" s="1197"/>
      <c r="AM57" s="1197"/>
      <c r="AN57" s="1197"/>
      <c r="AO57" s="3"/>
      <c r="AP57" s="1212"/>
      <c r="AQ57" s="3"/>
      <c r="AR57" s="1213"/>
      <c r="AS57" s="1213"/>
      <c r="AT57" s="1213"/>
      <c r="AU57" s="1213"/>
      <c r="AV57" s="1213"/>
      <c r="AW57" s="1213"/>
      <c r="AX57" s="1213"/>
      <c r="AY57" s="1213"/>
      <c r="AZ57" s="1213"/>
      <c r="BA57" s="1213"/>
      <c r="BB57" s="1213"/>
      <c r="BC57" s="1213"/>
      <c r="BD57" s="1213"/>
      <c r="BE57" s="1213"/>
      <c r="BF57" s="1213"/>
      <c r="BG57" s="1213"/>
      <c r="BH57" s="1213"/>
      <c r="BI57" s="1213"/>
      <c r="BJ57" s="1213"/>
      <c r="BK57" s="1213"/>
      <c r="BL57" s="1213"/>
      <c r="BM57" s="1213"/>
      <c r="BN57" s="1213"/>
      <c r="BO57" s="1213"/>
      <c r="BP57" s="1213"/>
      <c r="BQ57" s="1213"/>
      <c r="BR57" s="1213"/>
      <c r="BS57" s="1213"/>
      <c r="BT57" s="1213"/>
      <c r="BU57" s="1213"/>
      <c r="BV57" s="3"/>
      <c r="BW57" s="1172">
        <v>340</v>
      </c>
      <c r="BX57" s="1173" t="s">
        <v>807</v>
      </c>
      <c r="BY57" s="1173"/>
      <c r="BZ57" s="1176">
        <v>0.01</v>
      </c>
      <c r="CA57" s="1176">
        <v>0.01</v>
      </c>
      <c r="CB57" s="1176">
        <v>0.01</v>
      </c>
      <c r="CC57" s="1176">
        <v>0.02</v>
      </c>
      <c r="CD57" s="1176">
        <v>0.03</v>
      </c>
      <c r="CE57" s="1176">
        <v>0.04</v>
      </c>
      <c r="CF57" s="1176">
        <v>0.05</v>
      </c>
      <c r="CG57" s="1176">
        <v>0.06</v>
      </c>
      <c r="CH57" s="1176">
        <v>0.09</v>
      </c>
      <c r="CI57" s="1176">
        <v>0.12</v>
      </c>
      <c r="CJ57" s="1176">
        <v>0.15</v>
      </c>
      <c r="CK57" s="1175">
        <v>0</v>
      </c>
      <c r="CL57" s="1175">
        <v>0</v>
      </c>
      <c r="CM57" s="1175">
        <v>0</v>
      </c>
      <c r="CN57" s="1175">
        <v>0</v>
      </c>
      <c r="CO57" s="1175">
        <v>0</v>
      </c>
    </row>
    <row r="58" spans="1:93" s="769" customFormat="1" ht="15" thickTop="1" thickBot="1" x14ac:dyDescent="0.35">
      <c r="A58" s="1205"/>
      <c r="C58" s="1192"/>
      <c r="D58" s="1192"/>
      <c r="E58" s="1192"/>
      <c r="F58" s="1193"/>
      <c r="G58" s="1194"/>
      <c r="H58" s="1196"/>
      <c r="I58" s="1195"/>
      <c r="K58" s="1197"/>
      <c r="L58" s="1197"/>
      <c r="M58" s="1197"/>
      <c r="N58" s="1197"/>
      <c r="O58" s="1197"/>
      <c r="P58" s="1197"/>
      <c r="Q58" s="1197"/>
      <c r="R58" s="1197"/>
      <c r="S58" s="1197"/>
      <c r="T58" s="1197"/>
      <c r="U58" s="1197"/>
      <c r="V58" s="1197"/>
      <c r="W58" s="1197"/>
      <c r="X58" s="1197"/>
      <c r="Y58" s="1197"/>
      <c r="Z58" s="1197"/>
      <c r="AA58" s="1197"/>
      <c r="AB58" s="1197"/>
      <c r="AC58" s="1197"/>
      <c r="AD58" s="1197"/>
      <c r="AE58" s="1197"/>
      <c r="AF58" s="1197"/>
      <c r="AG58" s="1197"/>
      <c r="AH58" s="1197"/>
      <c r="AI58" s="1197"/>
      <c r="AJ58" s="1197"/>
      <c r="AK58" s="1197"/>
      <c r="AL58" s="1197"/>
      <c r="AM58" s="1197"/>
      <c r="AN58" s="1197"/>
      <c r="AO58" s="3"/>
      <c r="AP58" s="1212"/>
      <c r="AQ58" s="3"/>
      <c r="AR58" s="1213"/>
      <c r="AS58" s="1213"/>
      <c r="AT58" s="1213"/>
      <c r="AU58" s="1213"/>
      <c r="AV58" s="1213"/>
      <c r="AW58" s="1213"/>
      <c r="AX58" s="1213"/>
      <c r="AY58" s="1213"/>
      <c r="AZ58" s="1213"/>
      <c r="BA58" s="1213"/>
      <c r="BB58" s="1213"/>
      <c r="BC58" s="1213"/>
      <c r="BD58" s="1213"/>
      <c r="BE58" s="1213"/>
      <c r="BF58" s="1213"/>
      <c r="BG58" s="1213"/>
      <c r="BH58" s="1213"/>
      <c r="BI58" s="1213"/>
      <c r="BJ58" s="1213"/>
      <c r="BK58" s="1213"/>
      <c r="BL58" s="1213"/>
      <c r="BM58" s="1213"/>
      <c r="BN58" s="1213"/>
      <c r="BO58" s="1213"/>
      <c r="BP58" s="1213"/>
      <c r="BQ58" s="1213"/>
      <c r="BR58" s="1213"/>
      <c r="BS58" s="1213"/>
      <c r="BT58" s="1213"/>
      <c r="BU58" s="1213"/>
      <c r="BV58" s="3"/>
      <c r="BW58" s="1172">
        <v>341</v>
      </c>
      <c r="BX58" s="1173" t="s">
        <v>194</v>
      </c>
      <c r="BY58" s="1173"/>
      <c r="BZ58" s="1176">
        <v>0.01</v>
      </c>
      <c r="CA58" s="1176">
        <v>0.01</v>
      </c>
      <c r="CB58" s="1176">
        <v>0.01</v>
      </c>
      <c r="CC58" s="1176">
        <v>0.02</v>
      </c>
      <c r="CD58" s="1176">
        <v>0.03</v>
      </c>
      <c r="CE58" s="1176">
        <v>0.04</v>
      </c>
      <c r="CF58" s="1176">
        <v>0.05</v>
      </c>
      <c r="CG58" s="1176">
        <v>0.06</v>
      </c>
      <c r="CH58" s="1176">
        <v>0.09</v>
      </c>
      <c r="CI58" s="1176">
        <v>0.12</v>
      </c>
      <c r="CJ58" s="1176">
        <v>0.15</v>
      </c>
      <c r="CK58" s="1175">
        <v>0</v>
      </c>
      <c r="CL58" s="1175">
        <v>0</v>
      </c>
      <c r="CM58" s="1175">
        <v>0</v>
      </c>
      <c r="CN58" s="1175">
        <v>0</v>
      </c>
      <c r="CO58" s="1175">
        <v>0</v>
      </c>
    </row>
    <row r="59" spans="1:93" s="769" customFormat="1" ht="15" thickTop="1" thickBot="1" x14ac:dyDescent="0.35">
      <c r="A59" s="1205"/>
      <c r="C59" s="1192"/>
      <c r="D59" s="1192"/>
      <c r="E59" s="1192"/>
      <c r="F59" s="1193"/>
      <c r="G59" s="1194"/>
      <c r="H59" s="1196"/>
      <c r="I59" s="1195"/>
      <c r="K59" s="1197"/>
      <c r="L59" s="1197"/>
      <c r="M59" s="1197"/>
      <c r="N59" s="1197"/>
      <c r="O59" s="1197"/>
      <c r="P59" s="1197"/>
      <c r="Q59" s="1197"/>
      <c r="R59" s="1197"/>
      <c r="S59" s="1197"/>
      <c r="T59" s="1197"/>
      <c r="U59" s="1197"/>
      <c r="V59" s="1197"/>
      <c r="W59" s="1197"/>
      <c r="X59" s="1197"/>
      <c r="Y59" s="1197"/>
      <c r="Z59" s="1197"/>
      <c r="AA59" s="1197"/>
      <c r="AB59" s="1197"/>
      <c r="AC59" s="1197"/>
      <c r="AD59" s="1197"/>
      <c r="AE59" s="1197"/>
      <c r="AF59" s="1197"/>
      <c r="AG59" s="1197"/>
      <c r="AH59" s="1197"/>
      <c r="AI59" s="1197"/>
      <c r="AJ59" s="1197"/>
      <c r="AK59" s="1197"/>
      <c r="AL59" s="1197"/>
      <c r="AM59" s="1197"/>
      <c r="AN59" s="1197"/>
      <c r="AO59" s="3"/>
      <c r="AP59" s="1212"/>
      <c r="AQ59" s="3"/>
      <c r="AR59" s="1213"/>
      <c r="AS59" s="1213"/>
      <c r="AT59" s="1213"/>
      <c r="AU59" s="1213"/>
      <c r="AV59" s="1213"/>
      <c r="AW59" s="1213"/>
      <c r="AX59" s="1213"/>
      <c r="AY59" s="1213"/>
      <c r="AZ59" s="1213"/>
      <c r="BA59" s="1213"/>
      <c r="BB59" s="1213"/>
      <c r="BC59" s="1213"/>
      <c r="BD59" s="1213"/>
      <c r="BE59" s="1213"/>
      <c r="BF59" s="1213"/>
      <c r="BG59" s="1213"/>
      <c r="BH59" s="1213"/>
      <c r="BI59" s="1213"/>
      <c r="BJ59" s="1213"/>
      <c r="BK59" s="1213"/>
      <c r="BL59" s="1213"/>
      <c r="BM59" s="1213"/>
      <c r="BN59" s="1213"/>
      <c r="BO59" s="1213"/>
      <c r="BP59" s="1213"/>
      <c r="BQ59" s="1213"/>
      <c r="BR59" s="1213"/>
      <c r="BS59" s="1213"/>
      <c r="BT59" s="1213"/>
      <c r="BU59" s="1213"/>
      <c r="BV59" s="3"/>
      <c r="BW59" s="1172">
        <v>526</v>
      </c>
      <c r="BX59" s="1173" t="s">
        <v>195</v>
      </c>
      <c r="BY59" s="1173"/>
      <c r="BZ59" s="1176">
        <v>0.01</v>
      </c>
      <c r="CA59" s="1176">
        <v>0.01</v>
      </c>
      <c r="CB59" s="1176">
        <v>0.01</v>
      </c>
      <c r="CC59" s="1176">
        <v>0.02</v>
      </c>
      <c r="CD59" s="1176">
        <v>0.03</v>
      </c>
      <c r="CE59" s="1176">
        <v>0.04</v>
      </c>
      <c r="CF59" s="1176">
        <v>0.05</v>
      </c>
      <c r="CG59" s="1176">
        <v>0.06</v>
      </c>
      <c r="CH59" s="1176">
        <v>0.09</v>
      </c>
      <c r="CI59" s="1176">
        <v>0.12</v>
      </c>
      <c r="CJ59" s="1176">
        <v>0.15</v>
      </c>
      <c r="CK59" s="1175">
        <v>0</v>
      </c>
      <c r="CL59" s="1175">
        <v>0</v>
      </c>
      <c r="CM59" s="1175">
        <v>0</v>
      </c>
      <c r="CN59" s="1175">
        <v>0</v>
      </c>
      <c r="CO59" s="1175">
        <v>0</v>
      </c>
    </row>
    <row r="60" spans="1:93" s="769" customFormat="1" ht="15" thickTop="1" thickBot="1" x14ac:dyDescent="0.35">
      <c r="A60" s="1205"/>
      <c r="C60" s="1192"/>
      <c r="D60" s="1192"/>
      <c r="E60" s="1192"/>
      <c r="F60" s="1193"/>
      <c r="G60" s="1194"/>
      <c r="H60" s="1196"/>
      <c r="I60" s="1195"/>
      <c r="K60" s="1197"/>
      <c r="L60" s="1197"/>
      <c r="M60" s="1197"/>
      <c r="N60" s="1197"/>
      <c r="O60" s="1197"/>
      <c r="P60" s="1197"/>
      <c r="Q60" s="1197"/>
      <c r="R60" s="1197"/>
      <c r="S60" s="1197"/>
      <c r="T60" s="1197"/>
      <c r="U60" s="1197"/>
      <c r="V60" s="1197"/>
      <c r="W60" s="1197"/>
      <c r="X60" s="1197"/>
      <c r="Y60" s="1197"/>
      <c r="Z60" s="1197"/>
      <c r="AA60" s="1197"/>
      <c r="AB60" s="1197"/>
      <c r="AC60" s="1197"/>
      <c r="AD60" s="1197"/>
      <c r="AE60" s="1197"/>
      <c r="AF60" s="1197"/>
      <c r="AG60" s="1197"/>
      <c r="AH60" s="1197"/>
      <c r="AI60" s="1197"/>
      <c r="AJ60" s="1197"/>
      <c r="AK60" s="1197"/>
      <c r="AL60" s="1197"/>
      <c r="AM60" s="1197"/>
      <c r="AN60" s="1197"/>
      <c r="AO60" s="3"/>
      <c r="AP60" s="1212"/>
      <c r="AQ60" s="3"/>
      <c r="AR60" s="1213"/>
      <c r="AS60" s="1213"/>
      <c r="AT60" s="1213"/>
      <c r="AU60" s="1213"/>
      <c r="AV60" s="1213"/>
      <c r="AW60" s="1213"/>
      <c r="AX60" s="1213"/>
      <c r="AY60" s="1213"/>
      <c r="AZ60" s="1213"/>
      <c r="BA60" s="1213"/>
      <c r="BB60" s="1213"/>
      <c r="BC60" s="1213"/>
      <c r="BD60" s="1213"/>
      <c r="BE60" s="1213"/>
      <c r="BF60" s="1213"/>
      <c r="BG60" s="1213"/>
      <c r="BH60" s="1213"/>
      <c r="BI60" s="1213"/>
      <c r="BJ60" s="1213"/>
      <c r="BK60" s="1213"/>
      <c r="BL60" s="1213"/>
      <c r="BM60" s="1213"/>
      <c r="BN60" s="1213"/>
      <c r="BO60" s="1213"/>
      <c r="BP60" s="1213"/>
      <c r="BQ60" s="1213"/>
      <c r="BR60" s="1213"/>
      <c r="BS60" s="1213"/>
      <c r="BT60" s="1213"/>
      <c r="BU60" s="1213"/>
      <c r="BV60" s="3"/>
      <c r="BW60" s="1183" t="s">
        <v>196</v>
      </c>
      <c r="BX60" s="1184" t="s">
        <v>197</v>
      </c>
      <c r="BY60" s="1184"/>
      <c r="BZ60" s="1176">
        <v>0.01</v>
      </c>
      <c r="CA60" s="1176">
        <v>0.01</v>
      </c>
      <c r="CB60" s="1176">
        <v>0.01</v>
      </c>
      <c r="CC60" s="1176">
        <v>0.02</v>
      </c>
      <c r="CD60" s="1176">
        <v>0.03</v>
      </c>
      <c r="CE60" s="1176">
        <v>0.04</v>
      </c>
      <c r="CF60" s="1176">
        <v>0.05</v>
      </c>
      <c r="CG60" s="1176">
        <v>0.06</v>
      </c>
      <c r="CH60" s="1176">
        <v>0.09</v>
      </c>
      <c r="CI60" s="1176">
        <v>0.12</v>
      </c>
      <c r="CJ60" s="1176">
        <v>0.15</v>
      </c>
      <c r="CK60" s="1175">
        <v>0</v>
      </c>
      <c r="CL60" s="1175">
        <v>0</v>
      </c>
      <c r="CM60" s="1175">
        <v>0</v>
      </c>
      <c r="CN60" s="1175">
        <v>0</v>
      </c>
      <c r="CO60" s="1175">
        <v>0</v>
      </c>
    </row>
    <row r="61" spans="1:93" s="769" customFormat="1" ht="15" thickTop="1" thickBot="1" x14ac:dyDescent="0.4">
      <c r="A61" s="1205"/>
      <c r="C61" s="1192"/>
      <c r="D61" s="1192"/>
      <c r="E61" s="1192"/>
      <c r="F61" s="1193"/>
      <c r="G61" s="1194"/>
      <c r="H61" s="1196"/>
      <c r="I61" s="1195"/>
      <c r="K61" s="1197"/>
      <c r="L61" s="1197"/>
      <c r="M61" s="1197"/>
      <c r="N61" s="1197"/>
      <c r="O61" s="1197"/>
      <c r="P61" s="1197"/>
      <c r="Q61" s="1197"/>
      <c r="R61" s="1197"/>
      <c r="S61" s="1197"/>
      <c r="T61" s="1197"/>
      <c r="U61" s="1197"/>
      <c r="V61" s="1197"/>
      <c r="W61" s="1197"/>
      <c r="X61" s="1197"/>
      <c r="Y61" s="1197"/>
      <c r="Z61" s="1197"/>
      <c r="AA61" s="1197"/>
      <c r="AB61" s="1197"/>
      <c r="AC61" s="1197"/>
      <c r="AD61" s="1197"/>
      <c r="AE61" s="1197"/>
      <c r="AF61" s="1197"/>
      <c r="AG61" s="1197"/>
      <c r="AH61" s="1197"/>
      <c r="AI61" s="1197"/>
      <c r="AJ61" s="1197"/>
      <c r="AK61" s="1197"/>
      <c r="AL61" s="1197"/>
      <c r="AM61" s="1197"/>
      <c r="AN61" s="1197"/>
      <c r="AO61" s="3"/>
      <c r="AP61" s="1212"/>
      <c r="AQ61" s="3"/>
      <c r="AR61" s="1213"/>
      <c r="AS61" s="1213"/>
      <c r="AT61" s="1213"/>
      <c r="AU61" s="1213"/>
      <c r="AV61" s="1213"/>
      <c r="AW61" s="1213"/>
      <c r="AX61" s="1213"/>
      <c r="AY61" s="1213"/>
      <c r="AZ61" s="1213"/>
      <c r="BA61" s="1213"/>
      <c r="BB61" s="1213"/>
      <c r="BC61" s="1213"/>
      <c r="BD61" s="1213"/>
      <c r="BE61" s="1213"/>
      <c r="BF61" s="1213"/>
      <c r="BG61" s="1213"/>
      <c r="BH61" s="1213"/>
      <c r="BI61" s="1213"/>
      <c r="BJ61" s="1213"/>
      <c r="BK61" s="1213"/>
      <c r="BL61" s="1213"/>
      <c r="BM61" s="1213"/>
      <c r="BN61" s="1213"/>
      <c r="BO61" s="1213"/>
      <c r="BP61" s="1213"/>
      <c r="BQ61" s="1213"/>
      <c r="BR61" s="1213"/>
      <c r="BS61" s="1213"/>
      <c r="BT61" s="1213"/>
      <c r="BU61" s="1213"/>
      <c r="BV61" s="3"/>
      <c r="BW61" s="1180"/>
      <c r="BX61" s="1180"/>
      <c r="BY61" s="1180"/>
      <c r="BZ61" s="1589" t="s">
        <v>808</v>
      </c>
      <c r="CA61" s="1590"/>
      <c r="CB61" s="1590"/>
      <c r="CC61" s="1590"/>
      <c r="CD61" s="1590"/>
      <c r="CE61" s="1590"/>
      <c r="CF61" s="1590"/>
      <c r="CG61" s="1590"/>
      <c r="CH61" s="1590"/>
      <c r="CI61" s="1590"/>
      <c r="CJ61" s="1590"/>
      <c r="CK61" s="1590"/>
      <c r="CL61" s="1590"/>
      <c r="CM61" s="1591"/>
      <c r="CN61" s="1591"/>
      <c r="CO61" s="1591"/>
    </row>
    <row r="62" spans="1:93" s="769" customFormat="1" ht="15" thickTop="1" thickBot="1" x14ac:dyDescent="0.35">
      <c r="A62" s="1205"/>
      <c r="C62" s="1192"/>
      <c r="D62" s="1192"/>
      <c r="E62" s="1192"/>
      <c r="F62" s="1193"/>
      <c r="G62" s="1194"/>
      <c r="H62" s="1196"/>
      <c r="I62" s="1195"/>
      <c r="K62" s="1197"/>
      <c r="L62" s="1197"/>
      <c r="M62" s="1197"/>
      <c r="N62" s="1197"/>
      <c r="O62" s="1197"/>
      <c r="P62" s="1197"/>
      <c r="Q62" s="1197"/>
      <c r="R62" s="1197"/>
      <c r="S62" s="1197"/>
      <c r="T62" s="1197"/>
      <c r="U62" s="1197"/>
      <c r="V62" s="1197"/>
      <c r="W62" s="1197"/>
      <c r="X62" s="1197"/>
      <c r="Y62" s="1197"/>
      <c r="Z62" s="1197"/>
      <c r="AA62" s="1197"/>
      <c r="AB62" s="1197"/>
      <c r="AC62" s="1197"/>
      <c r="AD62" s="1197"/>
      <c r="AE62" s="1197"/>
      <c r="AF62" s="1197"/>
      <c r="AG62" s="1197"/>
      <c r="AH62" s="1197"/>
      <c r="AI62" s="1197"/>
      <c r="AJ62" s="1197"/>
      <c r="AK62" s="1197"/>
      <c r="AL62" s="1197"/>
      <c r="AM62" s="1197"/>
      <c r="AN62" s="1197"/>
      <c r="AO62" s="3"/>
      <c r="AP62" s="1212"/>
      <c r="AQ62" s="3"/>
      <c r="AR62" s="1213"/>
      <c r="AS62" s="1213"/>
      <c r="AT62" s="1213"/>
      <c r="AU62" s="1213"/>
      <c r="AV62" s="1213"/>
      <c r="AW62" s="1213"/>
      <c r="AX62" s="1213"/>
      <c r="AY62" s="1213"/>
      <c r="AZ62" s="1213"/>
      <c r="BA62" s="1213"/>
      <c r="BB62" s="1213"/>
      <c r="BC62" s="1213"/>
      <c r="BD62" s="1213"/>
      <c r="BE62" s="1213"/>
      <c r="BF62" s="1213"/>
      <c r="BG62" s="1213"/>
      <c r="BH62" s="1213"/>
      <c r="BI62" s="1213"/>
      <c r="BJ62" s="1213"/>
      <c r="BK62" s="1213"/>
      <c r="BL62" s="1213"/>
      <c r="BM62" s="1213"/>
      <c r="BN62" s="1213"/>
      <c r="BO62" s="1213"/>
      <c r="BP62" s="1213"/>
      <c r="BQ62" s="1213"/>
      <c r="BR62" s="1213"/>
      <c r="BS62" s="1213"/>
      <c r="BT62" s="1213"/>
      <c r="BU62" s="1213"/>
      <c r="BV62" s="3"/>
      <c r="BW62" s="1180"/>
      <c r="BX62" s="1180"/>
      <c r="BY62" s="1180"/>
      <c r="BZ62" s="1153">
        <v>0.25</v>
      </c>
      <c r="CA62" s="1153">
        <v>0.375</v>
      </c>
      <c r="CB62" s="1153">
        <v>0.5</v>
      </c>
      <c r="CC62" s="1153">
        <v>0.75</v>
      </c>
      <c r="CD62" s="1153">
        <v>1</v>
      </c>
      <c r="CE62" s="1153">
        <v>1.25</v>
      </c>
      <c r="CF62" s="1153">
        <v>1.5</v>
      </c>
      <c r="CG62" s="1153">
        <v>2</v>
      </c>
      <c r="CH62" s="1153">
        <v>2.5</v>
      </c>
      <c r="CI62" s="1153">
        <v>3</v>
      </c>
      <c r="CJ62" s="1153">
        <v>4</v>
      </c>
      <c r="CK62" s="1153">
        <v>5</v>
      </c>
      <c r="CL62" s="1153">
        <v>6</v>
      </c>
      <c r="CM62" s="1153">
        <v>8</v>
      </c>
      <c r="CN62" s="1153">
        <v>10</v>
      </c>
      <c r="CO62" s="1153">
        <v>12</v>
      </c>
    </row>
    <row r="63" spans="1:93" s="769" customFormat="1" ht="15" thickTop="1" thickBot="1" x14ac:dyDescent="0.35">
      <c r="A63" s="1205"/>
      <c r="C63" s="1192"/>
      <c r="D63" s="1192"/>
      <c r="E63" s="1192"/>
      <c r="F63" s="1193"/>
      <c r="G63" s="1194"/>
      <c r="H63" s="1196"/>
      <c r="I63" s="1195"/>
      <c r="K63" s="1197"/>
      <c r="L63" s="1197"/>
      <c r="M63" s="1197"/>
      <c r="N63" s="1197"/>
      <c r="O63" s="1197"/>
      <c r="P63" s="1197"/>
      <c r="Q63" s="1197"/>
      <c r="R63" s="1197"/>
      <c r="S63" s="1197"/>
      <c r="T63" s="1197"/>
      <c r="U63" s="1197"/>
      <c r="V63" s="1197"/>
      <c r="W63" s="1197"/>
      <c r="X63" s="1197"/>
      <c r="Y63" s="1197"/>
      <c r="Z63" s="1197"/>
      <c r="AA63" s="1197"/>
      <c r="AB63" s="1197"/>
      <c r="AC63" s="1197"/>
      <c r="AD63" s="1197"/>
      <c r="AE63" s="1197"/>
      <c r="AF63" s="1197"/>
      <c r="AG63" s="1197"/>
      <c r="AH63" s="1197"/>
      <c r="AI63" s="1197"/>
      <c r="AJ63" s="1197"/>
      <c r="AK63" s="1197"/>
      <c r="AL63" s="1197"/>
      <c r="AM63" s="1197"/>
      <c r="AN63" s="1197"/>
      <c r="AO63" s="3"/>
      <c r="AP63" s="1212"/>
      <c r="AQ63" s="3"/>
      <c r="AR63" s="1213"/>
      <c r="AS63" s="1213"/>
      <c r="AT63" s="1213"/>
      <c r="AU63" s="1213"/>
      <c r="AV63" s="1213"/>
      <c r="AW63" s="1213"/>
      <c r="AX63" s="1213"/>
      <c r="AY63" s="1213"/>
      <c r="AZ63" s="1213"/>
      <c r="BA63" s="1213"/>
      <c r="BB63" s="1213"/>
      <c r="BC63" s="1213"/>
      <c r="BD63" s="1213"/>
      <c r="BE63" s="1213"/>
      <c r="BF63" s="1213"/>
      <c r="BG63" s="1213"/>
      <c r="BH63" s="1213"/>
      <c r="BI63" s="1213"/>
      <c r="BJ63" s="1213"/>
      <c r="BK63" s="1213"/>
      <c r="BL63" s="1213"/>
      <c r="BM63" s="1213"/>
      <c r="BN63" s="1213"/>
      <c r="BO63" s="1213"/>
      <c r="BP63" s="1213"/>
      <c r="BQ63" s="1213"/>
      <c r="BR63" s="1213"/>
      <c r="BS63" s="1213"/>
      <c r="BT63" s="1213"/>
      <c r="BU63" s="1213"/>
      <c r="BV63" s="3"/>
      <c r="BW63" s="1185" t="s">
        <v>809</v>
      </c>
      <c r="BX63" s="1173" t="s">
        <v>810</v>
      </c>
      <c r="BY63" s="1173"/>
      <c r="BZ63" s="1175">
        <v>0</v>
      </c>
      <c r="CA63" s="1175">
        <v>0</v>
      </c>
      <c r="CB63" s="1175">
        <v>0</v>
      </c>
      <c r="CC63" s="1175">
        <v>0</v>
      </c>
      <c r="CD63" s="1208">
        <v>0.18</v>
      </c>
      <c r="CE63" s="1208">
        <v>0.18</v>
      </c>
      <c r="CF63" s="1208">
        <v>0.18</v>
      </c>
      <c r="CG63" s="1208">
        <v>0.18</v>
      </c>
      <c r="CH63" s="1208">
        <v>0.18</v>
      </c>
      <c r="CI63" s="1208">
        <v>0.18</v>
      </c>
      <c r="CJ63" s="1208">
        <v>0.18</v>
      </c>
      <c r="CK63" s="1208">
        <v>0.18</v>
      </c>
      <c r="CL63" s="1208">
        <v>0.18</v>
      </c>
      <c r="CM63" s="1208">
        <v>0.18</v>
      </c>
      <c r="CN63" s="1208">
        <v>0.18</v>
      </c>
      <c r="CO63" s="1208">
        <v>0.18</v>
      </c>
    </row>
    <row r="64" spans="1:93" s="769" customFormat="1" ht="15" thickTop="1" thickBot="1" x14ac:dyDescent="0.35">
      <c r="A64" s="1205"/>
      <c r="C64" s="1192"/>
      <c r="D64" s="1192"/>
      <c r="E64" s="1192"/>
      <c r="F64" s="1193"/>
      <c r="G64" s="1194"/>
      <c r="H64" s="1196"/>
      <c r="I64" s="1195"/>
      <c r="K64" s="1197"/>
      <c r="L64" s="1197"/>
      <c r="M64" s="1197"/>
      <c r="N64" s="1197"/>
      <c r="O64" s="1197"/>
      <c r="P64" s="1197"/>
      <c r="Q64" s="1197"/>
      <c r="R64" s="1197"/>
      <c r="S64" s="1197"/>
      <c r="T64" s="1197"/>
      <c r="U64" s="1197"/>
      <c r="V64" s="1197"/>
      <c r="W64" s="1197"/>
      <c r="X64" s="1197"/>
      <c r="Y64" s="1197"/>
      <c r="Z64" s="1197"/>
      <c r="AA64" s="1197"/>
      <c r="AB64" s="1197"/>
      <c r="AC64" s="1197"/>
      <c r="AD64" s="1197"/>
      <c r="AE64" s="1197"/>
      <c r="AF64" s="1197"/>
      <c r="AG64" s="1197"/>
      <c r="AH64" s="1197"/>
      <c r="AI64" s="1197"/>
      <c r="AJ64" s="1197"/>
      <c r="AK64" s="1197"/>
      <c r="AL64" s="1197"/>
      <c r="AM64" s="1197"/>
      <c r="AN64" s="1197"/>
      <c r="AO64" s="3"/>
      <c r="AP64" s="1212"/>
      <c r="AQ64" s="3"/>
      <c r="AR64" s="1213"/>
      <c r="AS64" s="1213"/>
      <c r="AT64" s="1213"/>
      <c r="AU64" s="1213"/>
      <c r="AV64" s="1213"/>
      <c r="AW64" s="1213"/>
      <c r="AX64" s="1213"/>
      <c r="AY64" s="1213"/>
      <c r="AZ64" s="1213"/>
      <c r="BA64" s="1213"/>
      <c r="BB64" s="1213"/>
      <c r="BC64" s="1213"/>
      <c r="BD64" s="1213"/>
      <c r="BE64" s="1213"/>
      <c r="BF64" s="1213"/>
      <c r="BG64" s="1213"/>
      <c r="BH64" s="1213"/>
      <c r="BI64" s="1213"/>
      <c r="BJ64" s="1213"/>
      <c r="BK64" s="1213"/>
      <c r="BL64" s="1213"/>
      <c r="BM64" s="1213"/>
      <c r="BN64" s="1213"/>
      <c r="BO64" s="1213"/>
      <c r="BP64" s="1213"/>
      <c r="BQ64" s="1213"/>
      <c r="BR64" s="1213"/>
      <c r="BS64" s="1213"/>
      <c r="BT64" s="1213"/>
      <c r="BU64" s="1213"/>
      <c r="BV64" s="3"/>
      <c r="BW64" s="1185" t="s">
        <v>811</v>
      </c>
      <c r="BX64" s="1173" t="s">
        <v>812</v>
      </c>
      <c r="BY64" s="1173"/>
      <c r="BZ64" s="1175">
        <v>0</v>
      </c>
      <c r="CA64" s="1175">
        <v>0</v>
      </c>
      <c r="CB64" s="1175">
        <v>0</v>
      </c>
      <c r="CC64" s="1175">
        <v>0</v>
      </c>
      <c r="CD64" s="1254">
        <v>0</v>
      </c>
      <c r="CE64" s="1254">
        <v>0</v>
      </c>
      <c r="CF64" s="1254">
        <v>0</v>
      </c>
      <c r="CG64" s="1208">
        <v>0.6</v>
      </c>
      <c r="CH64" s="1208">
        <v>0.6</v>
      </c>
      <c r="CI64" s="1208">
        <v>1.2</v>
      </c>
      <c r="CJ64" s="1208">
        <v>1.8</v>
      </c>
      <c r="CK64" s="1254">
        <v>0</v>
      </c>
      <c r="CL64" s="1254">
        <v>0</v>
      </c>
      <c r="CM64" s="1254">
        <v>0</v>
      </c>
      <c r="CN64" s="1254">
        <v>0</v>
      </c>
      <c r="CO64" s="1254">
        <v>0</v>
      </c>
    </row>
    <row r="65" spans="1:93" s="769" customFormat="1" ht="15" thickTop="1" thickBot="1" x14ac:dyDescent="0.35">
      <c r="A65" s="1205"/>
      <c r="C65" s="1192"/>
      <c r="D65" s="1192"/>
      <c r="E65" s="1192"/>
      <c r="F65" s="1193"/>
      <c r="G65" s="1194"/>
      <c r="H65" s="1196"/>
      <c r="I65" s="1195"/>
      <c r="K65" s="1197"/>
      <c r="L65" s="1197"/>
      <c r="M65" s="1197"/>
      <c r="N65" s="1197"/>
      <c r="O65" s="1197"/>
      <c r="P65" s="1197"/>
      <c r="Q65" s="1197"/>
      <c r="R65" s="1197"/>
      <c r="S65" s="1197"/>
      <c r="T65" s="1197"/>
      <c r="U65" s="1197"/>
      <c r="V65" s="1197"/>
      <c r="W65" s="1197"/>
      <c r="X65" s="1197"/>
      <c r="Y65" s="1197"/>
      <c r="Z65" s="1197"/>
      <c r="AA65" s="1197"/>
      <c r="AB65" s="1197"/>
      <c r="AC65" s="1197"/>
      <c r="AD65" s="1197"/>
      <c r="AE65" s="1197"/>
      <c r="AF65" s="1197"/>
      <c r="AG65" s="1197"/>
      <c r="AH65" s="1197"/>
      <c r="AI65" s="1197"/>
      <c r="AJ65" s="1197"/>
      <c r="AK65" s="1197"/>
      <c r="AL65" s="1197"/>
      <c r="AM65" s="1197"/>
      <c r="AN65" s="1197"/>
      <c r="AO65" s="3"/>
      <c r="AP65" s="1212"/>
      <c r="AQ65" s="3"/>
      <c r="AR65" s="1213"/>
      <c r="AS65" s="1213"/>
      <c r="AT65" s="1213"/>
      <c r="AU65" s="1213"/>
      <c r="AV65" s="1213"/>
      <c r="AW65" s="1213"/>
      <c r="AX65" s="1213"/>
      <c r="AY65" s="1213"/>
      <c r="AZ65" s="1213"/>
      <c r="BA65" s="1213"/>
      <c r="BB65" s="1213"/>
      <c r="BC65" s="1213"/>
      <c r="BD65" s="1213"/>
      <c r="BE65" s="1213"/>
      <c r="BF65" s="1213"/>
      <c r="BG65" s="1213"/>
      <c r="BH65" s="1213"/>
      <c r="BI65" s="1213"/>
      <c r="BJ65" s="1213"/>
      <c r="BK65" s="1213"/>
      <c r="BL65" s="1213"/>
      <c r="BM65" s="1213"/>
      <c r="BN65" s="1213"/>
      <c r="BO65" s="1213"/>
      <c r="BP65" s="1213"/>
      <c r="BQ65" s="1213"/>
      <c r="BR65" s="1213"/>
      <c r="BS65" s="1213"/>
      <c r="BT65" s="1213"/>
      <c r="BU65" s="1213"/>
      <c r="BV65" s="3"/>
      <c r="BW65" s="1185">
        <v>90</v>
      </c>
      <c r="BX65" s="1173" t="s">
        <v>813</v>
      </c>
      <c r="BY65" s="1173"/>
      <c r="BZ65" s="1175">
        <v>0</v>
      </c>
      <c r="CA65" s="1175">
        <v>0</v>
      </c>
      <c r="CB65" s="1175">
        <v>0</v>
      </c>
      <c r="CC65" s="1175">
        <v>0</v>
      </c>
      <c r="CD65" s="1208">
        <v>0.9</v>
      </c>
      <c r="CE65" s="1208">
        <v>1</v>
      </c>
      <c r="CF65" s="1208">
        <v>1.1000000000000001</v>
      </c>
      <c r="CG65" s="1208">
        <v>1.2</v>
      </c>
      <c r="CH65" s="1208">
        <v>1.5</v>
      </c>
      <c r="CI65" s="1208">
        <v>1.65</v>
      </c>
      <c r="CJ65" s="1208">
        <v>2.2999999999999998</v>
      </c>
      <c r="CK65" s="1208">
        <v>2.75</v>
      </c>
      <c r="CL65" s="1208">
        <v>3.3</v>
      </c>
      <c r="CM65" s="1208">
        <v>4.4000000000000004</v>
      </c>
      <c r="CN65" s="1208">
        <v>5.2</v>
      </c>
      <c r="CO65" s="1208">
        <v>6.1</v>
      </c>
    </row>
    <row r="66" spans="1:93" s="769" customFormat="1" ht="15" thickTop="1" thickBot="1" x14ac:dyDescent="0.35">
      <c r="A66" s="1205"/>
      <c r="C66" s="1192"/>
      <c r="D66" s="1192"/>
      <c r="E66" s="1192"/>
      <c r="F66" s="1193"/>
      <c r="G66" s="1194"/>
      <c r="H66" s="1196"/>
      <c r="I66" s="1195"/>
      <c r="K66" s="1197"/>
      <c r="L66" s="1197"/>
      <c r="M66" s="1197"/>
      <c r="N66" s="1197"/>
      <c r="O66" s="1197"/>
      <c r="P66" s="1197"/>
      <c r="Q66" s="1197"/>
      <c r="R66" s="1197"/>
      <c r="S66" s="1197"/>
      <c r="T66" s="1197"/>
      <c r="U66" s="1197"/>
      <c r="V66" s="1197"/>
      <c r="W66" s="1197"/>
      <c r="X66" s="1197"/>
      <c r="Y66" s="1197"/>
      <c r="Z66" s="1197"/>
      <c r="AA66" s="1197"/>
      <c r="AB66" s="1197"/>
      <c r="AC66" s="1197"/>
      <c r="AD66" s="1197"/>
      <c r="AE66" s="1197"/>
      <c r="AF66" s="1197"/>
      <c r="AG66" s="1197"/>
      <c r="AH66" s="1197"/>
      <c r="AI66" s="1197"/>
      <c r="AJ66" s="1197"/>
      <c r="AK66" s="1197"/>
      <c r="AL66" s="1197"/>
      <c r="AM66" s="1197"/>
      <c r="AN66" s="1197"/>
      <c r="AO66" s="3"/>
      <c r="AP66" s="1212"/>
      <c r="AQ66" s="3"/>
      <c r="AR66" s="1213"/>
      <c r="AS66" s="1213"/>
      <c r="AT66" s="1213"/>
      <c r="AU66" s="1213"/>
      <c r="AV66" s="1213"/>
      <c r="AW66" s="1213"/>
      <c r="AX66" s="1213"/>
      <c r="AY66" s="1213"/>
      <c r="AZ66" s="1213"/>
      <c r="BA66" s="1213"/>
      <c r="BB66" s="1213"/>
      <c r="BC66" s="1213"/>
      <c r="BD66" s="1213"/>
      <c r="BE66" s="1213"/>
      <c r="BF66" s="1213"/>
      <c r="BG66" s="1213"/>
      <c r="BH66" s="1213"/>
      <c r="BI66" s="1213"/>
      <c r="BJ66" s="1213"/>
      <c r="BK66" s="1213"/>
      <c r="BL66" s="1213"/>
      <c r="BM66" s="1213"/>
      <c r="BN66" s="1213"/>
      <c r="BO66" s="1213"/>
      <c r="BP66" s="1213"/>
      <c r="BQ66" s="1213"/>
      <c r="BR66" s="1213"/>
      <c r="BS66" s="1213"/>
      <c r="BT66" s="1213"/>
      <c r="BU66" s="1213"/>
      <c r="BV66" s="3"/>
      <c r="BW66" s="1186">
        <v>120</v>
      </c>
      <c r="BX66" s="1178" t="s">
        <v>814</v>
      </c>
      <c r="BY66" s="1178"/>
      <c r="BZ66" s="1175">
        <v>0</v>
      </c>
      <c r="CA66" s="1175">
        <v>0</v>
      </c>
      <c r="CB66" s="1175">
        <v>0</v>
      </c>
      <c r="CC66" s="1175">
        <v>0</v>
      </c>
      <c r="CD66" s="1208">
        <v>0.43</v>
      </c>
      <c r="CE66" s="1208">
        <v>0.45</v>
      </c>
      <c r="CF66" s="1208">
        <v>0.48</v>
      </c>
      <c r="CG66" s="1208">
        <v>0.55000000000000004</v>
      </c>
      <c r="CH66" s="1208">
        <v>0.75</v>
      </c>
      <c r="CI66" s="1208">
        <v>0.88</v>
      </c>
      <c r="CJ66" s="1208">
        <v>1.1000000000000001</v>
      </c>
      <c r="CK66" s="1208">
        <v>1.42</v>
      </c>
      <c r="CL66" s="1208">
        <v>1.65</v>
      </c>
      <c r="CM66" s="1208">
        <v>1.65</v>
      </c>
      <c r="CN66" s="1208">
        <v>2.25</v>
      </c>
      <c r="CO66" s="1208">
        <v>2.6</v>
      </c>
    </row>
    <row r="67" spans="1:93" s="769" customFormat="1" ht="15" thickTop="1" thickBot="1" x14ac:dyDescent="0.35">
      <c r="A67" s="1205"/>
      <c r="C67" s="1192"/>
      <c r="D67" s="1192"/>
      <c r="E67" s="1192"/>
      <c r="F67" s="1193"/>
      <c r="G67" s="1194"/>
      <c r="H67" s="1196"/>
      <c r="I67" s="1195"/>
      <c r="K67" s="1197"/>
      <c r="L67" s="1197"/>
      <c r="M67" s="1197"/>
      <c r="N67" s="1197"/>
      <c r="O67" s="1197"/>
      <c r="P67" s="1197"/>
      <c r="Q67" s="1197"/>
      <c r="R67" s="1197"/>
      <c r="S67" s="1197"/>
      <c r="T67" s="1197"/>
      <c r="U67" s="1197"/>
      <c r="V67" s="1197"/>
      <c r="W67" s="1197"/>
      <c r="X67" s="1197"/>
      <c r="Y67" s="1197"/>
      <c r="Z67" s="1197"/>
      <c r="AA67" s="1197"/>
      <c r="AB67" s="1197"/>
      <c r="AC67" s="1197"/>
      <c r="AD67" s="1197"/>
      <c r="AE67" s="1197"/>
      <c r="AF67" s="1197"/>
      <c r="AG67" s="1197"/>
      <c r="AH67" s="1197"/>
      <c r="AI67" s="1197"/>
      <c r="AJ67" s="1197"/>
      <c r="AK67" s="1197"/>
      <c r="AL67" s="1197"/>
      <c r="AM67" s="1197"/>
      <c r="AN67" s="1197"/>
      <c r="AO67" s="3"/>
      <c r="AP67" s="1212"/>
      <c r="AQ67" s="3"/>
      <c r="AR67" s="1213"/>
      <c r="AS67" s="1213"/>
      <c r="AT67" s="1213"/>
      <c r="AU67" s="1213"/>
      <c r="AV67" s="1213"/>
      <c r="AW67" s="1213"/>
      <c r="AX67" s="1213"/>
      <c r="AY67" s="1213"/>
      <c r="AZ67" s="1213"/>
      <c r="BA67" s="1213"/>
      <c r="BB67" s="1213"/>
      <c r="BC67" s="1213"/>
      <c r="BD67" s="1213"/>
      <c r="BE67" s="1213"/>
      <c r="BF67" s="1213"/>
      <c r="BG67" s="1213"/>
      <c r="BH67" s="1213"/>
      <c r="BI67" s="1213"/>
      <c r="BJ67" s="1213"/>
      <c r="BK67" s="1213"/>
      <c r="BL67" s="1213"/>
      <c r="BM67" s="1213"/>
      <c r="BN67" s="1213"/>
      <c r="BO67" s="1213"/>
      <c r="BP67" s="1213"/>
      <c r="BQ67" s="1213"/>
      <c r="BR67" s="1213"/>
      <c r="BS67" s="1213"/>
      <c r="BT67" s="1213"/>
      <c r="BU67" s="1213"/>
      <c r="BV67" s="3"/>
      <c r="BW67" s="1186">
        <v>130</v>
      </c>
      <c r="BX67" s="1178" t="s">
        <v>815</v>
      </c>
      <c r="BY67" s="1178"/>
      <c r="BZ67" s="1175">
        <v>0</v>
      </c>
      <c r="CA67" s="1175">
        <v>0</v>
      </c>
      <c r="CB67" s="1175">
        <v>0</v>
      </c>
      <c r="CC67" s="1175">
        <v>0</v>
      </c>
      <c r="CD67" s="1208">
        <v>0.95</v>
      </c>
      <c r="CE67" s="1208">
        <v>0.95</v>
      </c>
      <c r="CF67" s="1208">
        <v>1.05</v>
      </c>
      <c r="CG67" s="1208">
        <v>1.2</v>
      </c>
      <c r="CH67" s="1208">
        <v>1.5</v>
      </c>
      <c r="CI67" s="1208">
        <v>1.65</v>
      </c>
      <c r="CJ67" s="1208">
        <v>2.2999999999999998</v>
      </c>
      <c r="CK67" s="1208">
        <v>2.75</v>
      </c>
      <c r="CL67" s="1208">
        <v>3.3</v>
      </c>
      <c r="CM67" s="1208">
        <v>4.4000000000000004</v>
      </c>
      <c r="CN67" s="1208">
        <v>5.0999999999999996</v>
      </c>
      <c r="CO67" s="1208">
        <v>6.2</v>
      </c>
    </row>
    <row r="68" spans="1:93" s="769" customFormat="1" ht="15" thickTop="1" thickBot="1" x14ac:dyDescent="0.35">
      <c r="A68" s="1205"/>
      <c r="C68" s="1192"/>
      <c r="D68" s="1192"/>
      <c r="E68" s="1192"/>
      <c r="F68" s="1193"/>
      <c r="G68" s="1194"/>
      <c r="H68" s="1196"/>
      <c r="I68" s="1195"/>
      <c r="K68" s="1197"/>
      <c r="L68" s="1197"/>
      <c r="M68" s="1197"/>
      <c r="N68" s="1197"/>
      <c r="O68" s="1197"/>
      <c r="P68" s="1197"/>
      <c r="Q68" s="1197"/>
      <c r="R68" s="1197"/>
      <c r="S68" s="1197"/>
      <c r="T68" s="1197"/>
      <c r="U68" s="1197"/>
      <c r="V68" s="1197"/>
      <c r="W68" s="1197"/>
      <c r="X68" s="1197"/>
      <c r="Y68" s="1197"/>
      <c r="Z68" s="1197"/>
      <c r="AA68" s="1197"/>
      <c r="AB68" s="1197"/>
      <c r="AC68" s="1197"/>
      <c r="AD68" s="1197"/>
      <c r="AE68" s="1197"/>
      <c r="AF68" s="1197"/>
      <c r="AG68" s="1197"/>
      <c r="AH68" s="1197"/>
      <c r="AI68" s="1197"/>
      <c r="AJ68" s="1197"/>
      <c r="AK68" s="1197"/>
      <c r="AL68" s="1197"/>
      <c r="AM68" s="1197"/>
      <c r="AN68" s="1197"/>
      <c r="AO68" s="3"/>
      <c r="AP68" s="1212"/>
      <c r="AQ68" s="3"/>
      <c r="AR68" s="1213"/>
      <c r="AS68" s="1213"/>
      <c r="AT68" s="1213"/>
      <c r="AU68" s="1213"/>
      <c r="AV68" s="1213"/>
      <c r="AW68" s="1213"/>
      <c r="AX68" s="1213"/>
      <c r="AY68" s="1213"/>
      <c r="AZ68" s="1213"/>
      <c r="BA68" s="1213"/>
      <c r="BB68" s="1213"/>
      <c r="BC68" s="1213"/>
      <c r="BD68" s="1213"/>
      <c r="BE68" s="1213"/>
      <c r="BF68" s="1213"/>
      <c r="BG68" s="1213"/>
      <c r="BH68" s="1213"/>
      <c r="BI68" s="1213"/>
      <c r="BJ68" s="1213"/>
      <c r="BK68" s="1213"/>
      <c r="BL68" s="1213"/>
      <c r="BM68" s="1213"/>
      <c r="BN68" s="1213"/>
      <c r="BO68" s="1213"/>
      <c r="BP68" s="1213"/>
      <c r="BQ68" s="1213"/>
      <c r="BR68" s="1213"/>
      <c r="BS68" s="1213"/>
      <c r="BT68" s="1213"/>
      <c r="BU68" s="1213"/>
      <c r="BV68" s="3"/>
      <c r="BW68" s="1187"/>
      <c r="BX68" s="1174"/>
      <c r="BY68" s="1174"/>
      <c r="BZ68" s="1175">
        <v>0</v>
      </c>
      <c r="CA68" s="1175">
        <v>0</v>
      </c>
      <c r="CB68" s="1175">
        <v>0</v>
      </c>
      <c r="CC68" s="1175">
        <v>0</v>
      </c>
      <c r="CD68" s="1208">
        <v>2.2000000000000002</v>
      </c>
      <c r="CE68" s="1208">
        <v>2.35</v>
      </c>
      <c r="CF68" s="1208">
        <v>2.5</v>
      </c>
      <c r="CG68" s="1208">
        <v>2.85</v>
      </c>
      <c r="CH68" s="1208">
        <v>3.75</v>
      </c>
      <c r="CI68" s="1208">
        <v>4.4000000000000004</v>
      </c>
      <c r="CJ68" s="1208">
        <v>5.4</v>
      </c>
      <c r="CK68" s="1208">
        <v>6.95</v>
      </c>
      <c r="CL68" s="1208">
        <v>8.35</v>
      </c>
      <c r="CM68" s="1209">
        <v>11.1</v>
      </c>
      <c r="CN68" s="1209">
        <v>12.6</v>
      </c>
      <c r="CO68" s="1209">
        <v>15.7</v>
      </c>
    </row>
    <row r="69" spans="1:93" s="769" customFormat="1" ht="15" thickTop="1" thickBot="1" x14ac:dyDescent="0.35">
      <c r="A69" s="1205"/>
      <c r="C69" s="1192"/>
      <c r="D69" s="1192"/>
      <c r="E69" s="1192"/>
      <c r="F69" s="1193"/>
      <c r="G69" s="1194"/>
      <c r="H69" s="1196"/>
      <c r="I69" s="1195"/>
      <c r="K69" s="1197"/>
      <c r="L69" s="1197"/>
      <c r="M69" s="1197"/>
      <c r="N69" s="1197"/>
      <c r="O69" s="1197"/>
      <c r="P69" s="1197"/>
      <c r="Q69" s="1197"/>
      <c r="R69" s="1197"/>
      <c r="S69" s="1197"/>
      <c r="T69" s="1197"/>
      <c r="U69" s="1197"/>
      <c r="V69" s="1197"/>
      <c r="W69" s="1197"/>
      <c r="X69" s="1197"/>
      <c r="Y69" s="1197"/>
      <c r="Z69" s="1197"/>
      <c r="AA69" s="1197"/>
      <c r="AB69" s="1197"/>
      <c r="AC69" s="1197"/>
      <c r="AD69" s="1197"/>
      <c r="AE69" s="1197"/>
      <c r="AF69" s="1197"/>
      <c r="AG69" s="1197"/>
      <c r="AH69" s="1197"/>
      <c r="AI69" s="1197"/>
      <c r="AJ69" s="1197"/>
      <c r="AK69" s="1197"/>
      <c r="AL69" s="1197"/>
      <c r="AM69" s="1197"/>
      <c r="AN69" s="1197"/>
      <c r="AO69" s="3"/>
      <c r="AP69" s="1212"/>
      <c r="AQ69" s="3"/>
      <c r="AR69" s="1213"/>
      <c r="AS69" s="1213"/>
      <c r="AT69" s="1213"/>
      <c r="AU69" s="1213"/>
      <c r="AV69" s="1213"/>
      <c r="AW69" s="1213"/>
      <c r="AX69" s="1213"/>
      <c r="AY69" s="1213"/>
      <c r="AZ69" s="1213"/>
      <c r="BA69" s="1213"/>
      <c r="BB69" s="1213"/>
      <c r="BC69" s="1213"/>
      <c r="BD69" s="1213"/>
      <c r="BE69" s="1213"/>
      <c r="BF69" s="1213"/>
      <c r="BG69" s="1213"/>
      <c r="BH69" s="1213"/>
      <c r="BI69" s="1213"/>
      <c r="BJ69" s="1213"/>
      <c r="BK69" s="1213"/>
      <c r="BL69" s="1213"/>
      <c r="BM69" s="1213"/>
      <c r="BN69" s="1213"/>
      <c r="BO69" s="1213"/>
      <c r="BP69" s="1213"/>
      <c r="BQ69" s="1213"/>
      <c r="BR69" s="1213"/>
      <c r="BS69" s="1213"/>
      <c r="BT69" s="1213"/>
      <c r="BU69" s="1213"/>
      <c r="BV69" s="3"/>
      <c r="BW69" s="1185" t="s">
        <v>816</v>
      </c>
      <c r="BX69" s="1173" t="s">
        <v>817</v>
      </c>
      <c r="BY69" s="1173"/>
      <c r="BZ69" s="1175">
        <v>0</v>
      </c>
      <c r="CA69" s="1175">
        <v>0</v>
      </c>
      <c r="CB69" s="1175">
        <v>0</v>
      </c>
      <c r="CC69" s="1175">
        <v>0</v>
      </c>
      <c r="CD69" s="1208">
        <v>0.9</v>
      </c>
      <c r="CE69" s="1208">
        <v>1.2</v>
      </c>
      <c r="CF69" s="1208">
        <v>1.2</v>
      </c>
      <c r="CG69" s="1208">
        <v>1.8</v>
      </c>
      <c r="CH69" s="1208">
        <v>2.4</v>
      </c>
      <c r="CI69" s="1208">
        <v>3.1</v>
      </c>
      <c r="CJ69" s="1208">
        <v>4.3</v>
      </c>
      <c r="CK69" s="1254">
        <v>0</v>
      </c>
      <c r="CL69" s="1254">
        <v>0</v>
      </c>
      <c r="CM69" s="1254">
        <v>0</v>
      </c>
      <c r="CN69" s="1254">
        <v>0</v>
      </c>
      <c r="CO69" s="1254">
        <v>0</v>
      </c>
    </row>
    <row r="70" spans="1:93" s="769" customFormat="1" ht="15" thickTop="1" thickBot="1" x14ac:dyDescent="0.4">
      <c r="A70" s="1205"/>
      <c r="C70" s="1192"/>
      <c r="D70" s="1192"/>
      <c r="E70" s="1192"/>
      <c r="F70" s="1193"/>
      <c r="G70" s="1194"/>
      <c r="H70" s="1196"/>
      <c r="I70" s="1195"/>
      <c r="K70" s="1197"/>
      <c r="L70" s="1197"/>
      <c r="M70" s="1197"/>
      <c r="N70" s="1197"/>
      <c r="O70" s="1197"/>
      <c r="P70" s="1197"/>
      <c r="Q70" s="1197"/>
      <c r="R70" s="1197"/>
      <c r="S70" s="1197"/>
      <c r="T70" s="1197"/>
      <c r="U70" s="1197"/>
      <c r="V70" s="1197"/>
      <c r="W70" s="1197"/>
      <c r="X70" s="1197"/>
      <c r="Y70" s="1197"/>
      <c r="Z70" s="1197"/>
      <c r="AA70" s="1197"/>
      <c r="AB70" s="1197"/>
      <c r="AC70" s="1197"/>
      <c r="AD70" s="1197"/>
      <c r="AE70" s="1197"/>
      <c r="AF70" s="1197"/>
      <c r="AG70" s="1197"/>
      <c r="AH70" s="1197"/>
      <c r="AI70" s="1197"/>
      <c r="AJ70" s="1197"/>
      <c r="AK70" s="1197"/>
      <c r="AL70" s="1197"/>
      <c r="AM70" s="1197"/>
      <c r="AN70" s="1197"/>
      <c r="AO70" s="3"/>
      <c r="AP70" s="1212"/>
      <c r="AQ70" s="3"/>
      <c r="AR70" s="1213"/>
      <c r="AS70" s="1213"/>
      <c r="AT70" s="1213"/>
      <c r="AU70" s="1213"/>
      <c r="AV70" s="1213"/>
      <c r="AW70" s="1213"/>
      <c r="AX70" s="1213"/>
      <c r="AY70" s="1213"/>
      <c r="AZ70" s="1213"/>
      <c r="BA70" s="1213"/>
      <c r="BB70" s="1213"/>
      <c r="BC70" s="1213"/>
      <c r="BD70" s="1213"/>
      <c r="BE70" s="1213"/>
      <c r="BF70" s="1213"/>
      <c r="BG70" s="1213"/>
      <c r="BH70" s="1213"/>
      <c r="BI70" s="1213"/>
      <c r="BJ70" s="1213"/>
      <c r="BK70" s="1213"/>
      <c r="BL70" s="1213"/>
      <c r="BM70" s="1213"/>
      <c r="BN70" s="1213"/>
      <c r="BO70" s="1213"/>
      <c r="BP70" s="1213"/>
      <c r="BQ70" s="1213"/>
      <c r="BR70" s="1213"/>
      <c r="BS70" s="1213"/>
      <c r="BT70" s="1213"/>
      <c r="BU70" s="1213"/>
      <c r="BV70" s="3"/>
      <c r="BW70" s="1180"/>
      <c r="BX70" s="1180"/>
      <c r="BY70" s="1180"/>
      <c r="BZ70" s="1592" t="s">
        <v>818</v>
      </c>
      <c r="CA70" s="1593"/>
      <c r="CB70" s="1593"/>
      <c r="CC70" s="1593"/>
      <c r="CD70" s="1593"/>
      <c r="CE70" s="1593"/>
      <c r="CF70" s="1593"/>
      <c r="CG70" s="1593"/>
      <c r="CH70" s="1593"/>
      <c r="CI70" s="1593"/>
      <c r="CJ70" s="1593"/>
      <c r="CK70" s="1593"/>
      <c r="CL70" s="1593"/>
      <c r="CM70" s="1594"/>
      <c r="CN70" s="1594"/>
      <c r="CO70" s="1594"/>
    </row>
    <row r="71" spans="1:93" s="769" customFormat="1" ht="15" thickTop="1" thickBot="1" x14ac:dyDescent="0.35">
      <c r="A71" s="1205"/>
      <c r="C71" s="1192"/>
      <c r="D71" s="1192"/>
      <c r="E71" s="1192"/>
      <c r="F71" s="1193"/>
      <c r="G71" s="1194"/>
      <c r="H71" s="1196"/>
      <c r="I71" s="1195"/>
      <c r="K71" s="1197"/>
      <c r="L71" s="1197"/>
      <c r="M71" s="1197"/>
      <c r="N71" s="1197"/>
      <c r="O71" s="1197"/>
      <c r="P71" s="1197"/>
      <c r="Q71" s="1197"/>
      <c r="R71" s="1197"/>
      <c r="S71" s="1197"/>
      <c r="T71" s="1197"/>
      <c r="U71" s="1197"/>
      <c r="V71" s="1197"/>
      <c r="W71" s="1197"/>
      <c r="X71" s="1197"/>
      <c r="Y71" s="1197"/>
      <c r="Z71" s="1197"/>
      <c r="AA71" s="1197"/>
      <c r="AB71" s="1197"/>
      <c r="AC71" s="1197"/>
      <c r="AD71" s="1197"/>
      <c r="AE71" s="1197"/>
      <c r="AF71" s="1197"/>
      <c r="AG71" s="1197"/>
      <c r="AH71" s="1197"/>
      <c r="AI71" s="1197"/>
      <c r="AJ71" s="1197"/>
      <c r="AK71" s="1197"/>
      <c r="AL71" s="1197"/>
      <c r="AM71" s="1197"/>
      <c r="AN71" s="1197"/>
      <c r="AO71" s="3"/>
      <c r="AP71" s="1212"/>
      <c r="AQ71" s="3"/>
      <c r="AR71" s="1213"/>
      <c r="AS71" s="1213"/>
      <c r="AT71" s="1213"/>
      <c r="AU71" s="1213"/>
      <c r="AV71" s="1213"/>
      <c r="AW71" s="1213"/>
      <c r="AX71" s="1213"/>
      <c r="AY71" s="1213"/>
      <c r="AZ71" s="1213"/>
      <c r="BA71" s="1213"/>
      <c r="BB71" s="1213"/>
      <c r="BC71" s="1213"/>
      <c r="BD71" s="1213"/>
      <c r="BE71" s="1213"/>
      <c r="BF71" s="1213"/>
      <c r="BG71" s="1213"/>
      <c r="BH71" s="1213"/>
      <c r="BI71" s="1213"/>
      <c r="BJ71" s="1213"/>
      <c r="BK71" s="1213"/>
      <c r="BL71" s="1213"/>
      <c r="BM71" s="1213"/>
      <c r="BN71" s="1213"/>
      <c r="BO71" s="1213"/>
      <c r="BP71" s="1213"/>
      <c r="BQ71" s="1213"/>
      <c r="BR71" s="1213"/>
      <c r="BS71" s="1213"/>
      <c r="BT71" s="1213"/>
      <c r="BU71" s="1213"/>
      <c r="BV71" s="3"/>
      <c r="BW71" s="1180"/>
      <c r="BX71" s="1180"/>
      <c r="BY71" s="1180"/>
      <c r="BZ71" s="1153">
        <v>0.25</v>
      </c>
      <c r="CA71" s="1153">
        <v>0.375</v>
      </c>
      <c r="CB71" s="1153">
        <v>0.5</v>
      </c>
      <c r="CC71" s="1153">
        <v>0.75</v>
      </c>
      <c r="CD71" s="1153">
        <v>1</v>
      </c>
      <c r="CE71" s="1153">
        <v>1.25</v>
      </c>
      <c r="CF71" s="1153">
        <v>1.5</v>
      </c>
      <c r="CG71" s="1153">
        <v>2</v>
      </c>
      <c r="CH71" s="1153">
        <v>2.5</v>
      </c>
      <c r="CI71" s="1153">
        <v>3</v>
      </c>
      <c r="CJ71" s="1153">
        <v>4</v>
      </c>
      <c r="CK71" s="1153">
        <v>5</v>
      </c>
      <c r="CL71" s="1153">
        <v>6</v>
      </c>
      <c r="CM71" s="1153">
        <v>8</v>
      </c>
      <c r="CN71" s="1153">
        <v>10</v>
      </c>
      <c r="CO71" s="1153">
        <v>12</v>
      </c>
    </row>
    <row r="72" spans="1:93" s="769" customFormat="1" ht="15" thickTop="1" thickBot="1" x14ac:dyDescent="0.35">
      <c r="A72" s="1205"/>
      <c r="C72" s="1192"/>
      <c r="D72" s="1192"/>
      <c r="E72" s="1192"/>
      <c r="F72" s="1193"/>
      <c r="G72" s="1194"/>
      <c r="H72" s="1196"/>
      <c r="I72" s="1195"/>
      <c r="K72" s="1197"/>
      <c r="L72" s="1197"/>
      <c r="M72" s="1197"/>
      <c r="N72" s="1197"/>
      <c r="O72" s="1197"/>
      <c r="P72" s="1197"/>
      <c r="Q72" s="1197"/>
      <c r="R72" s="1197"/>
      <c r="S72" s="1197"/>
      <c r="T72" s="1197"/>
      <c r="U72" s="1197"/>
      <c r="V72" s="1197"/>
      <c r="W72" s="1197"/>
      <c r="X72" s="1197"/>
      <c r="Y72" s="1197"/>
      <c r="Z72" s="1197"/>
      <c r="AA72" s="1197"/>
      <c r="AB72" s="1197"/>
      <c r="AC72" s="1197"/>
      <c r="AD72" s="1197"/>
      <c r="AE72" s="1197"/>
      <c r="AF72" s="1197"/>
      <c r="AG72" s="1197"/>
      <c r="AH72" s="1197"/>
      <c r="AI72" s="1197"/>
      <c r="AJ72" s="1197"/>
      <c r="AK72" s="1197"/>
      <c r="AL72" s="1197"/>
      <c r="AM72" s="1197"/>
      <c r="AN72" s="1197"/>
      <c r="AO72" s="3"/>
      <c r="AP72" s="1212"/>
      <c r="AQ72" s="3"/>
      <c r="AR72" s="1213"/>
      <c r="AS72" s="1213"/>
      <c r="AT72" s="1213"/>
      <c r="AU72" s="1213"/>
      <c r="AV72" s="1213"/>
      <c r="AW72" s="1213"/>
      <c r="AX72" s="1213"/>
      <c r="AY72" s="1213"/>
      <c r="AZ72" s="1213"/>
      <c r="BA72" s="1213"/>
      <c r="BB72" s="1213"/>
      <c r="BC72" s="1213"/>
      <c r="BD72" s="1213"/>
      <c r="BE72" s="1213"/>
      <c r="BF72" s="1213"/>
      <c r="BG72" s="1213"/>
      <c r="BH72" s="1213"/>
      <c r="BI72" s="1213"/>
      <c r="BJ72" s="1213"/>
      <c r="BK72" s="1213"/>
      <c r="BL72" s="1213"/>
      <c r="BM72" s="1213"/>
      <c r="BN72" s="1213"/>
      <c r="BO72" s="1213"/>
      <c r="BP72" s="1213"/>
      <c r="BQ72" s="1213"/>
      <c r="BR72" s="1213"/>
      <c r="BS72" s="1213"/>
      <c r="BT72" s="1213"/>
      <c r="BU72" s="1213"/>
      <c r="BV72" s="3"/>
      <c r="BW72" s="1189">
        <v>600</v>
      </c>
      <c r="BX72" s="1173" t="s">
        <v>819</v>
      </c>
      <c r="BY72" s="1173"/>
      <c r="BZ72" s="1175">
        <v>0</v>
      </c>
      <c r="CA72" s="1175">
        <v>0</v>
      </c>
      <c r="CB72" s="1176">
        <v>0.1</v>
      </c>
      <c r="CC72" s="1176">
        <v>0.1</v>
      </c>
      <c r="CD72" s="1176">
        <v>0.2</v>
      </c>
      <c r="CE72" s="1176">
        <v>0.2</v>
      </c>
      <c r="CF72" s="1176">
        <v>0.3</v>
      </c>
      <c r="CG72" s="1176">
        <v>0.4</v>
      </c>
      <c r="CH72" s="1176">
        <v>0.4</v>
      </c>
      <c r="CI72" s="1176">
        <v>0.5</v>
      </c>
      <c r="CJ72" s="1176">
        <v>0.7</v>
      </c>
      <c r="CK72" s="1176">
        <v>0.9</v>
      </c>
      <c r="CL72" s="1176">
        <v>1.1000000000000001</v>
      </c>
      <c r="CM72" s="1208">
        <v>1.4</v>
      </c>
      <c r="CN72" s="1208">
        <v>1.7</v>
      </c>
      <c r="CO72" s="1208">
        <v>2.1</v>
      </c>
    </row>
    <row r="73" spans="1:93" ht="13.5" customHeight="1" thickTop="1" thickBot="1" x14ac:dyDescent="0.35">
      <c r="A73" s="1204"/>
      <c r="AO73" s="1"/>
      <c r="AP73" s="1210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189">
        <v>172</v>
      </c>
      <c r="BX73" s="1173" t="s">
        <v>820</v>
      </c>
      <c r="BY73" s="1173"/>
      <c r="BZ73" s="1175">
        <v>0</v>
      </c>
      <c r="CA73" s="1175">
        <v>0</v>
      </c>
      <c r="CB73" s="1176">
        <v>4.9000000000000004</v>
      </c>
      <c r="CC73" s="1176">
        <v>6.7</v>
      </c>
      <c r="CD73" s="1176">
        <v>8.1999999999999993</v>
      </c>
      <c r="CE73" s="1188">
        <v>11.3</v>
      </c>
      <c r="CF73" s="1188">
        <v>13.4</v>
      </c>
      <c r="CG73" s="1188">
        <v>17.399999999999999</v>
      </c>
      <c r="CH73" s="1188">
        <v>21</v>
      </c>
      <c r="CI73" s="1188">
        <v>26</v>
      </c>
      <c r="CJ73" s="1188">
        <v>34</v>
      </c>
      <c r="CK73" s="1188">
        <v>43</v>
      </c>
      <c r="CL73" s="1188">
        <v>51</v>
      </c>
      <c r="CM73" s="1209">
        <v>67</v>
      </c>
      <c r="CN73" s="1209">
        <v>85</v>
      </c>
      <c r="CO73" s="1209">
        <v>102</v>
      </c>
    </row>
    <row r="74" spans="1:93" ht="9.75" customHeight="1" thickTop="1" thickBot="1" x14ac:dyDescent="0.35">
      <c r="A74" s="1206"/>
      <c r="B74" s="1207"/>
      <c r="C74" s="1207"/>
      <c r="D74" s="1207"/>
      <c r="E74" s="1207"/>
      <c r="F74" s="1207"/>
      <c r="G74" s="1207"/>
      <c r="H74" s="1207"/>
      <c r="I74" s="1207"/>
      <c r="J74" s="1207"/>
      <c r="K74" s="1207"/>
      <c r="L74" s="1207"/>
      <c r="M74" s="1207"/>
      <c r="N74" s="1207"/>
      <c r="O74" s="1207"/>
      <c r="P74" s="1207"/>
      <c r="Q74" s="1207"/>
      <c r="R74" s="1207"/>
      <c r="S74" s="1207"/>
      <c r="T74" s="1207"/>
      <c r="U74" s="1207"/>
      <c r="V74" s="1207"/>
      <c r="W74" s="1207"/>
      <c r="X74" s="1207"/>
      <c r="Y74" s="1207"/>
      <c r="Z74" s="1207"/>
      <c r="AA74" s="1207"/>
      <c r="AB74" s="1207"/>
      <c r="AC74" s="1207"/>
      <c r="AD74" s="1207"/>
      <c r="AE74" s="1207"/>
      <c r="AF74" s="1207"/>
      <c r="AG74" s="1207"/>
      <c r="AH74" s="1207"/>
      <c r="AI74" s="1207"/>
      <c r="AO74" s="70"/>
      <c r="AP74" s="1214"/>
      <c r="AQ74" s="859"/>
      <c r="AR74" s="859"/>
      <c r="AS74" s="859"/>
      <c r="AT74" s="859"/>
      <c r="AU74" s="859"/>
      <c r="AV74" s="859"/>
      <c r="AW74" s="859"/>
      <c r="AX74" s="859"/>
      <c r="AY74" s="859"/>
      <c r="AZ74" s="859"/>
      <c r="BA74" s="859"/>
      <c r="BB74" s="859"/>
      <c r="BC74" s="859"/>
      <c r="BD74" s="859"/>
      <c r="BE74" s="859"/>
      <c r="BF74" s="859"/>
      <c r="BG74" s="859"/>
      <c r="BH74" s="859"/>
      <c r="BI74" s="859"/>
      <c r="BJ74" s="859"/>
      <c r="BK74" s="859"/>
      <c r="BL74" s="859"/>
      <c r="BM74" s="859"/>
      <c r="BN74" s="859"/>
      <c r="BO74" s="859"/>
      <c r="BP74" s="859"/>
      <c r="BQ74" s="70"/>
      <c r="BR74" s="1"/>
      <c r="BS74" s="1"/>
      <c r="BT74" s="1"/>
      <c r="BU74" s="1"/>
      <c r="BV74" s="1"/>
      <c r="BW74" s="1190">
        <v>640</v>
      </c>
      <c r="BX74" s="1178" t="s">
        <v>821</v>
      </c>
      <c r="BY74" s="1178"/>
      <c r="BZ74" s="1175">
        <v>0</v>
      </c>
      <c r="CA74" s="1175">
        <v>0</v>
      </c>
      <c r="CB74" s="1176">
        <v>1.1000000000000001</v>
      </c>
      <c r="CC74" s="1176">
        <v>1.6</v>
      </c>
      <c r="CD74" s="1176">
        <v>2.1</v>
      </c>
      <c r="CE74" s="1176">
        <v>2.7</v>
      </c>
      <c r="CF74" s="1176">
        <v>3.2</v>
      </c>
      <c r="CG74" s="1176">
        <v>4.2</v>
      </c>
      <c r="CH74" s="1176">
        <v>5.2</v>
      </c>
      <c r="CI74" s="1176">
        <v>6.3</v>
      </c>
      <c r="CJ74" s="1176">
        <v>8.4</v>
      </c>
      <c r="CK74" s="1188">
        <v>10.4</v>
      </c>
      <c r="CL74" s="1188">
        <v>12.5</v>
      </c>
      <c r="CM74" s="1209">
        <v>16</v>
      </c>
      <c r="CN74" s="1209">
        <v>20</v>
      </c>
      <c r="CO74" s="1209">
        <v>24</v>
      </c>
    </row>
    <row r="75" spans="1:93" ht="16.5" customHeight="1" thickTop="1" x14ac:dyDescent="0.3"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191"/>
      <c r="BX75" s="1174"/>
      <c r="BY75" s="1174"/>
      <c r="BZ75" s="1175">
        <v>0</v>
      </c>
      <c r="CA75" s="1175">
        <v>0</v>
      </c>
      <c r="CB75" s="1176">
        <v>1.6</v>
      </c>
      <c r="CC75" s="1176">
        <v>2.4</v>
      </c>
      <c r="CD75" s="1176">
        <v>3.2</v>
      </c>
      <c r="CE75" s="1176">
        <v>4</v>
      </c>
      <c r="CF75" s="1176">
        <v>4.8</v>
      </c>
      <c r="CG75" s="1176">
        <v>6.4</v>
      </c>
      <c r="CH75" s="1176">
        <v>8.1</v>
      </c>
      <c r="CI75" s="1176">
        <v>9.6999999999999993</v>
      </c>
      <c r="CJ75" s="1188">
        <v>12.9</v>
      </c>
      <c r="CK75" s="1188">
        <v>16.100000000000001</v>
      </c>
      <c r="CL75" s="1188">
        <v>19.3</v>
      </c>
      <c r="CM75" s="1209">
        <v>25</v>
      </c>
      <c r="CN75" s="1209">
        <v>32</v>
      </c>
      <c r="CO75" s="1209">
        <v>38</v>
      </c>
    </row>
    <row r="76" spans="1:93" ht="16.5" customHeight="1" x14ac:dyDescent="0.3"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189">
        <v>196</v>
      </c>
      <c r="BX76" s="1173" t="s">
        <v>822</v>
      </c>
      <c r="BY76" s="1173"/>
      <c r="BZ76" s="1175">
        <v>0</v>
      </c>
      <c r="CA76" s="1175">
        <v>0</v>
      </c>
      <c r="CB76" s="1176">
        <v>3.6</v>
      </c>
      <c r="CC76" s="1176">
        <v>5.6</v>
      </c>
      <c r="CD76" s="1176">
        <v>7.3</v>
      </c>
      <c r="CE76" s="1188">
        <v>10</v>
      </c>
      <c r="CF76" s="1188">
        <v>11.6</v>
      </c>
      <c r="CG76" s="1188">
        <v>14</v>
      </c>
      <c r="CH76" s="1188">
        <v>17</v>
      </c>
      <c r="CI76" s="1188">
        <v>20</v>
      </c>
      <c r="CJ76" s="1188">
        <v>23</v>
      </c>
      <c r="CK76" s="1188">
        <v>30</v>
      </c>
      <c r="CL76" s="1188">
        <v>39</v>
      </c>
      <c r="CM76" s="1209">
        <v>52</v>
      </c>
      <c r="CN76" s="1209">
        <v>65</v>
      </c>
      <c r="CO76" s="1209">
        <v>78</v>
      </c>
    </row>
    <row r="77" spans="1:93" ht="14.15" x14ac:dyDescent="0.3">
      <c r="BW77" s="1189" t="s">
        <v>823</v>
      </c>
      <c r="BX77" s="1173" t="s">
        <v>824</v>
      </c>
      <c r="BY77" s="1173"/>
      <c r="BZ77" s="1175">
        <v>0</v>
      </c>
      <c r="CA77" s="1175">
        <v>0</v>
      </c>
      <c r="CB77" s="1176">
        <v>2.6</v>
      </c>
      <c r="CC77" s="1176">
        <v>3.6</v>
      </c>
      <c r="CD77" s="1176">
        <v>4.5999999999999996</v>
      </c>
      <c r="CE77" s="1176">
        <v>5.6</v>
      </c>
      <c r="CF77" s="1176">
        <v>6.7</v>
      </c>
      <c r="CG77" s="1176">
        <v>8.5</v>
      </c>
      <c r="CH77" s="1188">
        <v>10</v>
      </c>
      <c r="CI77" s="1188">
        <v>13</v>
      </c>
      <c r="CJ77" s="1188">
        <v>17</v>
      </c>
      <c r="CK77" s="1188">
        <v>21</v>
      </c>
      <c r="CL77" s="1188">
        <v>26</v>
      </c>
      <c r="CM77" s="1209">
        <v>34</v>
      </c>
      <c r="CN77" s="1209">
        <v>43</v>
      </c>
      <c r="CO77" s="1209">
        <v>51</v>
      </c>
    </row>
  </sheetData>
  <sheetProtection algorithmName="SHA-512" hashValue="/K2dPh5hGIw8w788xp31BZZlpGE09KKmbLg/qz48ofyRyxWGCkubCKF1LYkLXd7bOsWejGYve/0ACTxaaTzJbA==" saltValue="Al+WgwoUfgFoH3C4Lb9NoQ==" spinCount="100000" sheet="1" objects="1" scenarios="1"/>
  <mergeCells count="89">
    <mergeCell ref="W5:W9"/>
    <mergeCell ref="K4:AC4"/>
    <mergeCell ref="AD4:AI4"/>
    <mergeCell ref="AJ4:AN4"/>
    <mergeCell ref="K5:K9"/>
    <mergeCell ref="L5:L9"/>
    <mergeCell ref="M5:M9"/>
    <mergeCell ref="N5:N9"/>
    <mergeCell ref="O5:O9"/>
    <mergeCell ref="P5:P9"/>
    <mergeCell ref="Q5:Q9"/>
    <mergeCell ref="R5:R9"/>
    <mergeCell ref="S5:S9"/>
    <mergeCell ref="T5:T9"/>
    <mergeCell ref="U5:U9"/>
    <mergeCell ref="V5:V9"/>
    <mergeCell ref="AI5:AI9"/>
    <mergeCell ref="X5:X9"/>
    <mergeCell ref="Y5:Y9"/>
    <mergeCell ref="Z5:Z9"/>
    <mergeCell ref="AA5:AA9"/>
    <mergeCell ref="AB5:AB9"/>
    <mergeCell ref="AC5:AC9"/>
    <mergeCell ref="AD5:AD9"/>
    <mergeCell ref="AE5:AE9"/>
    <mergeCell ref="AF5:AF9"/>
    <mergeCell ref="AG5:AG9"/>
    <mergeCell ref="AH5:AH9"/>
    <mergeCell ref="AX5:AX9"/>
    <mergeCell ref="AJ5:AJ9"/>
    <mergeCell ref="AK5:AK9"/>
    <mergeCell ref="AL5:AL9"/>
    <mergeCell ref="AM5:AM9"/>
    <mergeCell ref="AN5:AN9"/>
    <mergeCell ref="AR5:AR9"/>
    <mergeCell ref="BO5:BO9"/>
    <mergeCell ref="BP5:BP9"/>
    <mergeCell ref="BE5:BE9"/>
    <mergeCell ref="BF5:BF9"/>
    <mergeCell ref="BG5:BG9"/>
    <mergeCell ref="BH5:BH9"/>
    <mergeCell ref="BI5:BI9"/>
    <mergeCell ref="BJ5:BJ9"/>
    <mergeCell ref="G9:I9"/>
    <mergeCell ref="BK5:BK9"/>
    <mergeCell ref="BL5:BL9"/>
    <mergeCell ref="BM5:BM9"/>
    <mergeCell ref="BN5:BN9"/>
    <mergeCell ref="AY5:AY9"/>
    <mergeCell ref="AZ5:AZ9"/>
    <mergeCell ref="BA5:BA9"/>
    <mergeCell ref="BB5:BB9"/>
    <mergeCell ref="BC5:BC9"/>
    <mergeCell ref="BD5:BD9"/>
    <mergeCell ref="AS5:AS9"/>
    <mergeCell ref="AT5:AT9"/>
    <mergeCell ref="AU5:AU9"/>
    <mergeCell ref="AV5:AV9"/>
    <mergeCell ref="AW5:AW9"/>
    <mergeCell ref="CB38:CD38"/>
    <mergeCell ref="CE38:CG38"/>
    <mergeCell ref="BZ9:CL9"/>
    <mergeCell ref="C10:E10"/>
    <mergeCell ref="BW11:BW12"/>
    <mergeCell ref="BX11:BX12"/>
    <mergeCell ref="BW34:BW35"/>
    <mergeCell ref="BX34:BX35"/>
    <mergeCell ref="BY34:BY35"/>
    <mergeCell ref="BQ5:BQ9"/>
    <mergeCell ref="BR5:BR9"/>
    <mergeCell ref="BS5:BS9"/>
    <mergeCell ref="BT5:BT9"/>
    <mergeCell ref="BU5:BU9"/>
    <mergeCell ref="D8:E8"/>
    <mergeCell ref="C9:E9"/>
    <mergeCell ref="BZ36:CB36"/>
    <mergeCell ref="CD36:CF36"/>
    <mergeCell ref="CG36:CI36"/>
    <mergeCell ref="CA37:CC37"/>
    <mergeCell ref="CD37:CG37"/>
    <mergeCell ref="CE42:CH42"/>
    <mergeCell ref="BZ61:CO61"/>
    <mergeCell ref="BZ70:CO70"/>
    <mergeCell ref="CB39:CE39"/>
    <mergeCell ref="CF39:CH39"/>
    <mergeCell ref="CC40:CE40"/>
    <mergeCell ref="CF40:CI40"/>
    <mergeCell ref="CC41:CF41"/>
    <mergeCell ref="CG41:CJ41"/>
  </mergeCells>
  <conditionalFormatting sqref="C13:C37">
    <cfRule type="cellIs" dxfId="42" priority="44" operator="equal">
      <formula>GL13</formula>
    </cfRule>
  </conditionalFormatting>
  <conditionalFormatting sqref="I13:I72">
    <cfRule type="cellIs" dxfId="41" priority="43" operator="lessThan">
      <formula>FS13</formula>
    </cfRule>
  </conditionalFormatting>
  <conditionalFormatting sqref="K10:AN10">
    <cfRule type="cellIs" dxfId="40" priority="42" operator="greaterThan">
      <formula>0</formula>
    </cfRule>
  </conditionalFormatting>
  <conditionalFormatting sqref="K11:AN11">
    <cfRule type="cellIs" dxfId="39" priority="41" operator="greaterThan">
      <formula>0</formula>
    </cfRule>
  </conditionalFormatting>
  <conditionalFormatting sqref="I13:I37 K13:AN37 C13:G37">
    <cfRule type="expression" dxfId="38" priority="40">
      <formula>AND(CELL("lin")=ROW(),CELL("col")&gt;=3,CELL("col")&lt;=9)</formula>
    </cfRule>
  </conditionalFormatting>
  <conditionalFormatting sqref="K12:AN12">
    <cfRule type="expression" dxfId="37" priority="38">
      <formula>AND(CELL("col")=COLUMN(),CELL("lin")&gt;=13,CELL("lin")&lt;=37)</formula>
    </cfRule>
  </conditionalFormatting>
  <conditionalFormatting sqref="K5:AN9">
    <cfRule type="expression" dxfId="36" priority="37">
      <formula>AND(CELL("col")=COLUMN(),CELL("lin")&gt;=13,CELL("lin")&lt;=37)</formula>
    </cfRule>
  </conditionalFormatting>
  <conditionalFormatting sqref="L13:AN37">
    <cfRule type="expression" dxfId="35" priority="36">
      <formula>AND(CELL("lin")=ROW(),CELL("col")=11)</formula>
    </cfRule>
  </conditionalFormatting>
  <conditionalFormatting sqref="K13:AN37">
    <cfRule type="expression" dxfId="34" priority="35">
      <formula>AND(CELL("lin")=ROW(),CELL("col")=8)</formula>
    </cfRule>
  </conditionalFormatting>
  <conditionalFormatting sqref="C9:I12">
    <cfRule type="expression" dxfId="33" priority="34">
      <formula>AND(CELL("col")=COLUMN(),CELL("lin")&gt;=13,CELL("lin")&lt;=37)</formula>
    </cfRule>
  </conditionalFormatting>
  <conditionalFormatting sqref="K13:K37 M13:AN37">
    <cfRule type="expression" dxfId="32" priority="33">
      <formula>AND(CELL("lin")=ROW(),CELL("col")=12)</formula>
    </cfRule>
  </conditionalFormatting>
  <conditionalFormatting sqref="K13:L37 N13:AN37">
    <cfRule type="expression" dxfId="31" priority="32">
      <formula>AND(CELL("lin")=ROW(),CELL("col")=13)</formula>
    </cfRule>
  </conditionalFormatting>
  <conditionalFormatting sqref="K13:M37 O13:AN37">
    <cfRule type="expression" dxfId="30" priority="31">
      <formula>AND(CELL("lin")=ROW(),CELL("col")=14)</formula>
    </cfRule>
  </conditionalFormatting>
  <conditionalFormatting sqref="K13:N37 P13:AN37">
    <cfRule type="expression" dxfId="29" priority="30">
      <formula>AND(CELL("lin")=ROW(),CELL("col")=15)</formula>
    </cfRule>
  </conditionalFormatting>
  <conditionalFormatting sqref="K13:O37 Q13:AN37">
    <cfRule type="expression" dxfId="28" priority="29">
      <formula>AND(CELL("lin")=ROW(),CELL("col")=16)</formula>
    </cfRule>
  </conditionalFormatting>
  <conditionalFormatting sqref="K13:P37 R13:AN37">
    <cfRule type="expression" dxfId="27" priority="28">
      <formula>AND(CELL("lin")=ROW(),CELL("col")=17)</formula>
    </cfRule>
  </conditionalFormatting>
  <conditionalFormatting sqref="K13:Q37 S13:AN37">
    <cfRule type="expression" dxfId="26" priority="27">
      <formula>AND(CELL("lin")=ROW(),CELL("col")=18)</formula>
    </cfRule>
  </conditionalFormatting>
  <conditionalFormatting sqref="K13:R37 T13:AN37">
    <cfRule type="expression" dxfId="25" priority="26">
      <formula>AND(CELL("lin")=ROW(),CELL("col")=19)</formula>
    </cfRule>
  </conditionalFormatting>
  <conditionalFormatting sqref="K13:S37 U13:AN37">
    <cfRule type="expression" dxfId="24" priority="25">
      <formula>AND(CELL("lin")=ROW(),CELL("col")=20)</formula>
    </cfRule>
  </conditionalFormatting>
  <conditionalFormatting sqref="K13:T37 V13:AN37">
    <cfRule type="expression" dxfId="23" priority="24">
      <formula>AND(CELL("lin")=ROW(),CELL("col")=21)</formula>
    </cfRule>
  </conditionalFormatting>
  <conditionalFormatting sqref="K13:U37 W13:AN37">
    <cfRule type="expression" dxfId="22" priority="23">
      <formula>AND(CELL("lin")=ROW(),CELL("col")=22)</formula>
    </cfRule>
  </conditionalFormatting>
  <conditionalFormatting sqref="K13:V37 X13:AN37">
    <cfRule type="expression" dxfId="21" priority="22">
      <formula>AND(CELL("lin")=ROW(),CELL("col")=23)</formula>
    </cfRule>
  </conditionalFormatting>
  <conditionalFormatting sqref="K13:W37 Y13:AN37">
    <cfRule type="expression" dxfId="20" priority="21">
      <formula>AND(CELL("lin")=ROW(),CELL("col")=24)</formula>
    </cfRule>
  </conditionalFormatting>
  <conditionalFormatting sqref="K13:X37 Z13:AN37">
    <cfRule type="expression" dxfId="19" priority="20">
      <formula>AND(CELL("lin")=ROW(),CELL("col")=25)</formula>
    </cfRule>
  </conditionalFormatting>
  <conditionalFormatting sqref="K13:Y37 AA13:AN37">
    <cfRule type="expression" dxfId="18" priority="19">
      <formula>AND(CELL("lin")=ROW(),CELL("col")=26)</formula>
    </cfRule>
  </conditionalFormatting>
  <conditionalFormatting sqref="K13:Z37 AB13:AN37">
    <cfRule type="expression" dxfId="17" priority="18">
      <formula>AND(CELL("lin")=ROW(),CELL("col")=27)</formula>
    </cfRule>
  </conditionalFormatting>
  <conditionalFormatting sqref="K13:AA37 AC13:AN37">
    <cfRule type="expression" dxfId="16" priority="17">
      <formula>AND(CELL("lin")=ROW(),CELL("col")=28)</formula>
    </cfRule>
  </conditionalFormatting>
  <conditionalFormatting sqref="K13:AB37 AD13:AN37">
    <cfRule type="expression" dxfId="15" priority="16">
      <formula>AND(CELL("lin")=ROW(),CELL("col")=29)</formula>
    </cfRule>
  </conditionalFormatting>
  <conditionalFormatting sqref="K13:AC37 AE13:AN37">
    <cfRule type="expression" dxfId="14" priority="15">
      <formula>AND(CELL("lin")=ROW(),CELL("col")=30)</formula>
    </cfRule>
  </conditionalFormatting>
  <conditionalFormatting sqref="K13:AD37 AF13:AN37">
    <cfRule type="expression" dxfId="13" priority="14">
      <formula>AND(CELL("lin")=ROW(),CELL("col")=31)</formula>
    </cfRule>
  </conditionalFormatting>
  <conditionalFormatting sqref="K13:AE37 AG13:AN37">
    <cfRule type="expression" dxfId="12" priority="13">
      <formula>AND(CELL("lin")=ROW(),CELL("col")=32)</formula>
    </cfRule>
  </conditionalFormatting>
  <conditionalFormatting sqref="K13:AF37 AH13:AN37">
    <cfRule type="expression" dxfId="11" priority="12">
      <formula>AND(CELL("lin")=ROW(),CELL("col")=33)</formula>
    </cfRule>
  </conditionalFormatting>
  <conditionalFormatting sqref="K13:AG37 AI13:AN37">
    <cfRule type="expression" dxfId="10" priority="11">
      <formula>AND(CELL("lin")=ROW(),CELL("col")=34)</formula>
    </cfRule>
  </conditionalFormatting>
  <conditionalFormatting sqref="K13:AH37 AJ13:AN37">
    <cfRule type="expression" dxfId="9" priority="9">
      <formula>AND(CELL("lin")=ROW(),CELL("col")=35)</formula>
    </cfRule>
    <cfRule type="expression" dxfId="8" priority="10">
      <formula>AND(CELL("lin")=ROW(),CELL("col")=35)</formula>
    </cfRule>
  </conditionalFormatting>
  <conditionalFormatting sqref="K13:AI37 AK13:AN37">
    <cfRule type="expression" dxfId="7" priority="8">
      <formula>AND(CELL("lin")=ROW(),CELL("col")=36)</formula>
    </cfRule>
  </conditionalFormatting>
  <conditionalFormatting sqref="K13:AJ37 AL13:AN37">
    <cfRule type="expression" dxfId="6" priority="7">
      <formula>AND(CELL("lin")=ROW(),CELL("col")=37)</formula>
    </cfRule>
  </conditionalFormatting>
  <conditionalFormatting sqref="K13:AK37 AM13:AN37">
    <cfRule type="expression" dxfId="5" priority="6">
      <formula>AND(CELL("lin")=ROW(),CELL("col")=38)</formula>
    </cfRule>
  </conditionalFormatting>
  <conditionalFormatting sqref="K13:AL37 AN13:AN37">
    <cfRule type="expression" dxfId="4" priority="5">
      <formula>AND(CELL("lin")=ROW(),CELL("col")=39)</formula>
    </cfRule>
  </conditionalFormatting>
  <conditionalFormatting sqref="K13:AM37">
    <cfRule type="expression" dxfId="3" priority="4">
      <formula>AND(CELL("lin")=ROW(),CELL("col")=40)</formula>
    </cfRule>
  </conditionalFormatting>
  <conditionalFormatting sqref="C13:G37">
    <cfRule type="expression" dxfId="2" priority="3">
      <formula>AND(CELL("lin")=ROW(),CELL("col")&gt;=11,CELL("col")&lt;=40)</formula>
    </cfRule>
  </conditionalFormatting>
  <conditionalFormatting sqref="I13:I37">
    <cfRule type="expression" dxfId="1" priority="2">
      <formula>AND(CELL("lin")=ROW(),CELL("col")&gt;=11,CELL("col")&lt;=40)</formula>
    </cfRule>
  </conditionalFormatting>
  <conditionalFormatting sqref="H13:H37">
    <cfRule type="cellIs" dxfId="0" priority="1" operator="lessThan">
      <formula>0</formula>
    </cfRule>
  </conditionalFormatting>
  <pageMargins left="0.39370078740157483" right="0.15748031496062992" top="0.74803149606299213" bottom="0.74803149606299213" header="0.31496062992125984" footer="0.31496062992125984"/>
  <pageSetup paperSize="9" scale="55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9">
    <tabColor indexed="16"/>
  </sheetPr>
  <dimension ref="A1:L67"/>
  <sheetViews>
    <sheetView showGridLines="0" showRowColHeaders="0" zoomScale="110" zoomScaleNormal="110" workbookViewId="0">
      <selection activeCell="B4" sqref="B4"/>
    </sheetView>
  </sheetViews>
  <sheetFormatPr defaultColWidth="9.15234375" defaultRowHeight="12.45" x14ac:dyDescent="0.3"/>
  <cols>
    <col min="1" max="1" width="1.84375" style="1" customWidth="1"/>
    <col min="2" max="3" width="12.84375" style="1" customWidth="1"/>
    <col min="4" max="4" width="17.3828125" style="1" customWidth="1"/>
    <col min="5" max="5" width="16.15234375" style="1" customWidth="1"/>
    <col min="6" max="6" width="15.84375" style="1" customWidth="1"/>
    <col min="7" max="7" width="14.15234375" style="1" customWidth="1"/>
    <col min="8" max="8" width="10.3046875" style="1" customWidth="1"/>
    <col min="9" max="9" width="6.3046875" style="1" customWidth="1"/>
    <col min="10" max="10" width="6.3828125" style="1" customWidth="1"/>
    <col min="11" max="11" width="8.69140625" style="1" customWidth="1"/>
    <col min="12" max="12" width="18.69140625" style="1" customWidth="1"/>
    <col min="13" max="13" width="1" style="1" customWidth="1"/>
    <col min="14" max="14" width="0.53515625" style="1" customWidth="1"/>
    <col min="15" max="15" width="27.53515625" style="1" customWidth="1"/>
    <col min="16" max="16384" width="9.15234375" style="1"/>
  </cols>
  <sheetData>
    <row r="1" spans="1:12" ht="8.25" customHeight="1" thickTop="1" x14ac:dyDescent="0.3">
      <c r="A1" s="860"/>
    </row>
    <row r="2" spans="1:12" ht="24.75" customHeight="1" x14ac:dyDescent="0.3">
      <c r="A2" s="861"/>
      <c r="B2" s="1349" t="s">
        <v>826</v>
      </c>
      <c r="C2" s="1351"/>
      <c r="D2" s="1351"/>
      <c r="E2" s="1351"/>
      <c r="F2" s="1351"/>
      <c r="G2" s="1351"/>
      <c r="H2" s="1351"/>
      <c r="I2" s="1351"/>
      <c r="J2" s="1351"/>
      <c r="K2" s="1351"/>
    </row>
    <row r="3" spans="1:12" ht="7.5" customHeight="1" x14ac:dyDescent="0.3">
      <c r="A3" s="861"/>
    </row>
    <row r="4" spans="1:12" ht="19.5" customHeight="1" x14ac:dyDescent="0.3">
      <c r="A4" s="861"/>
      <c r="B4" s="483"/>
      <c r="C4" s="1635"/>
      <c r="D4" s="1636"/>
      <c r="E4" s="1636"/>
      <c r="F4" s="1636"/>
      <c r="G4" s="1636"/>
      <c r="H4" s="1627"/>
      <c r="I4" s="1627"/>
      <c r="J4" s="1627"/>
      <c r="K4" s="1627"/>
      <c r="L4" s="1627"/>
    </row>
    <row r="5" spans="1:12" ht="32.25" customHeight="1" x14ac:dyDescent="0.3">
      <c r="A5" s="861"/>
      <c r="B5" s="1624"/>
      <c r="C5" s="1624"/>
      <c r="D5" s="1624"/>
      <c r="E5" s="1624"/>
      <c r="F5" s="1624"/>
      <c r="G5" s="1625"/>
      <c r="H5" s="1637"/>
      <c r="I5" s="1637"/>
      <c r="J5" s="1637"/>
      <c r="K5" s="1637"/>
      <c r="L5" s="1625"/>
    </row>
    <row r="6" spans="1:12" ht="15" customHeight="1" x14ac:dyDescent="0.3">
      <c r="A6" s="861"/>
      <c r="B6" s="480"/>
      <c r="C6" s="480"/>
      <c r="D6" s="480"/>
      <c r="E6" s="480"/>
      <c r="F6" s="480"/>
      <c r="G6" s="1625"/>
      <c r="H6" s="1626"/>
      <c r="I6" s="481"/>
      <c r="J6" s="481"/>
      <c r="K6" s="481"/>
      <c r="L6" s="1625"/>
    </row>
    <row r="7" spans="1:12" ht="18" customHeight="1" x14ac:dyDescent="0.3">
      <c r="A7" s="861"/>
      <c r="B7" s="1624"/>
      <c r="C7" s="1624"/>
      <c r="D7" s="1624"/>
      <c r="E7" s="1624"/>
      <c r="F7" s="1624"/>
      <c r="G7" s="484"/>
      <c r="H7" s="1627"/>
      <c r="I7" s="484"/>
      <c r="J7" s="484"/>
      <c r="K7" s="484"/>
      <c r="L7" s="484"/>
    </row>
    <row r="8" spans="1:12" ht="28.5" customHeight="1" x14ac:dyDescent="0.3">
      <c r="A8" s="861"/>
      <c r="B8" s="485"/>
      <c r="C8" s="480"/>
      <c r="D8" s="1631"/>
      <c r="E8" s="1631"/>
      <c r="F8" s="1631"/>
      <c r="G8" s="486"/>
      <c r="H8" s="487"/>
      <c r="I8" s="488"/>
      <c r="J8" s="488"/>
      <c r="K8" s="489"/>
      <c r="L8" s="490"/>
    </row>
    <row r="9" spans="1:12" ht="39" customHeight="1" x14ac:dyDescent="0.3">
      <c r="A9" s="861"/>
      <c r="B9" s="485"/>
      <c r="C9" s="480"/>
      <c r="D9" s="1631"/>
      <c r="E9" s="1631"/>
      <c r="F9" s="1631"/>
      <c r="G9" s="1633"/>
      <c r="H9" s="1634"/>
      <c r="I9" s="1628"/>
      <c r="J9" s="1628"/>
      <c r="K9" s="1638"/>
      <c r="L9" s="490"/>
    </row>
    <row r="10" spans="1:12" ht="17.25" customHeight="1" x14ac:dyDescent="0.3">
      <c r="A10" s="861"/>
      <c r="B10" s="485"/>
      <c r="C10" s="1624"/>
      <c r="D10" s="1631"/>
      <c r="E10" s="1631"/>
      <c r="F10" s="1632"/>
      <c r="G10" s="1633"/>
      <c r="H10" s="1630"/>
      <c r="I10" s="1630"/>
      <c r="J10" s="1630"/>
      <c r="K10" s="1630"/>
      <c r="L10" s="1639"/>
    </row>
    <row r="11" spans="1:12" ht="15" customHeight="1" x14ac:dyDescent="0.3">
      <c r="A11" s="861"/>
      <c r="B11" s="485"/>
      <c r="C11" s="1630"/>
      <c r="D11" s="1632"/>
      <c r="E11" s="1632"/>
      <c r="F11" s="1632"/>
      <c r="G11" s="1633"/>
      <c r="H11" s="1634"/>
      <c r="I11" s="1628"/>
      <c r="J11" s="1628"/>
      <c r="K11" s="1638"/>
      <c r="L11" s="1630"/>
    </row>
    <row r="12" spans="1:12" ht="30" customHeight="1" x14ac:dyDescent="0.3">
      <c r="A12" s="861"/>
      <c r="B12" s="485"/>
      <c r="C12" s="480"/>
      <c r="D12" s="1631"/>
      <c r="E12" s="1631"/>
      <c r="F12" s="1631"/>
      <c r="G12" s="1633"/>
      <c r="H12" s="1640"/>
      <c r="I12" s="1629"/>
      <c r="J12" s="1629"/>
      <c r="K12" s="1629"/>
      <c r="L12" s="490"/>
    </row>
    <row r="13" spans="1:12" ht="28.5" customHeight="1" x14ac:dyDescent="0.3">
      <c r="A13" s="861"/>
      <c r="B13" s="485"/>
      <c r="C13" s="480"/>
      <c r="D13" s="1631"/>
      <c r="E13" s="1631"/>
      <c r="F13" s="1631"/>
      <c r="G13" s="1633"/>
      <c r="H13" s="1634"/>
      <c r="I13" s="1628"/>
      <c r="J13" s="1628"/>
      <c r="K13" s="1638"/>
      <c r="L13" s="490"/>
    </row>
    <row r="14" spans="1:12" ht="29.25" customHeight="1" x14ac:dyDescent="0.3">
      <c r="A14" s="861"/>
      <c r="B14" s="485"/>
      <c r="C14" s="480"/>
      <c r="D14" s="1631"/>
      <c r="E14" s="1631"/>
      <c r="F14" s="1631"/>
      <c r="G14" s="1633"/>
      <c r="H14" s="1629"/>
      <c r="I14" s="1629"/>
      <c r="J14" s="1629"/>
      <c r="K14" s="1629"/>
      <c r="L14" s="490"/>
    </row>
    <row r="15" spans="1:12" x14ac:dyDescent="0.3">
      <c r="A15" s="861"/>
      <c r="B15" s="482"/>
      <c r="C15" s="491"/>
    </row>
    <row r="16" spans="1:12" x14ac:dyDescent="0.3">
      <c r="A16" s="861"/>
      <c r="B16" s="482"/>
      <c r="C16" s="491"/>
    </row>
    <row r="17" spans="1:7" ht="11.25" customHeight="1" thickBot="1" x14ac:dyDescent="0.35">
      <c r="A17" s="861"/>
      <c r="B17" s="482"/>
      <c r="C17" s="491"/>
    </row>
    <row r="18" spans="1:7" ht="33.75" customHeight="1" thickTop="1" thickBot="1" x14ac:dyDescent="0.35">
      <c r="A18" s="861"/>
      <c r="B18" s="482"/>
      <c r="C18" s="491"/>
      <c r="G18" s="358"/>
    </row>
    <row r="19" spans="1:7" ht="15.75" customHeight="1" thickTop="1" x14ac:dyDescent="0.3">
      <c r="A19" s="861"/>
      <c r="B19" s="482"/>
      <c r="C19" s="491"/>
    </row>
    <row r="20" spans="1:7" ht="15.75" customHeight="1" x14ac:dyDescent="0.3">
      <c r="A20" s="861"/>
      <c r="B20" s="482"/>
      <c r="C20" s="491"/>
    </row>
    <row r="21" spans="1:7" x14ac:dyDescent="0.3">
      <c r="A21" s="861"/>
      <c r="B21" s="482"/>
      <c r="C21" s="491"/>
    </row>
    <row r="22" spans="1:7" x14ac:dyDescent="0.3">
      <c r="A22" s="861"/>
      <c r="B22" s="482"/>
      <c r="C22" s="491"/>
    </row>
    <row r="23" spans="1:7" x14ac:dyDescent="0.3">
      <c r="A23" s="861"/>
      <c r="B23" s="482"/>
      <c r="C23" s="491"/>
    </row>
    <row r="24" spans="1:7" x14ac:dyDescent="0.3">
      <c r="A24" s="861"/>
      <c r="B24" s="482"/>
      <c r="C24" s="491"/>
    </row>
    <row r="25" spans="1:7" ht="12.75" customHeight="1" thickBot="1" x14ac:dyDescent="0.35">
      <c r="A25" s="861"/>
      <c r="B25" s="482"/>
      <c r="C25" s="491"/>
    </row>
    <row r="26" spans="1:7" ht="45" customHeight="1" thickTop="1" thickBot="1" x14ac:dyDescent="0.35">
      <c r="A26" s="861"/>
      <c r="B26" s="482"/>
      <c r="C26" s="491"/>
      <c r="F26" s="321"/>
    </row>
    <row r="27" spans="1:7" ht="14.25" customHeight="1" thickTop="1" x14ac:dyDescent="0.3">
      <c r="A27" s="861"/>
      <c r="B27" s="482"/>
      <c r="C27" s="491"/>
    </row>
    <row r="28" spans="1:7" ht="15" customHeight="1" x14ac:dyDescent="0.3">
      <c r="A28" s="861"/>
      <c r="B28" s="482"/>
      <c r="C28" s="491"/>
    </row>
    <row r="29" spans="1:7" x14ac:dyDescent="0.3">
      <c r="A29" s="861"/>
      <c r="B29" s="482"/>
      <c r="C29" s="491"/>
    </row>
    <row r="30" spans="1:7" ht="15.75" customHeight="1" x14ac:dyDescent="0.3">
      <c r="A30" s="861"/>
      <c r="B30" s="482"/>
      <c r="C30" s="491"/>
    </row>
    <row r="31" spans="1:7" ht="13.5" customHeight="1" x14ac:dyDescent="0.3">
      <c r="A31" s="861"/>
      <c r="B31" s="482"/>
      <c r="C31" s="491"/>
    </row>
    <row r="32" spans="1:7" ht="13.5" customHeight="1" x14ac:dyDescent="0.3">
      <c r="A32" s="861"/>
      <c r="B32" s="482"/>
      <c r="C32" s="491"/>
    </row>
    <row r="33" spans="1:3" ht="13.5" customHeight="1" x14ac:dyDescent="0.3">
      <c r="A33" s="861"/>
      <c r="B33" s="482"/>
      <c r="C33" s="491"/>
    </row>
    <row r="34" spans="1:3" ht="13.5" customHeight="1" x14ac:dyDescent="0.3">
      <c r="A34" s="861"/>
      <c r="B34" s="482"/>
      <c r="C34" s="491"/>
    </row>
    <row r="35" spans="1:3" ht="13.5" customHeight="1" x14ac:dyDescent="0.3">
      <c r="A35" s="861"/>
      <c r="B35" s="482"/>
      <c r="C35" s="491"/>
    </row>
    <row r="36" spans="1:3" ht="13.5" customHeight="1" x14ac:dyDescent="0.3">
      <c r="A36" s="861"/>
      <c r="B36" s="482"/>
      <c r="C36" s="491"/>
    </row>
    <row r="37" spans="1:3" ht="13.5" customHeight="1" x14ac:dyDescent="0.3">
      <c r="A37" s="861"/>
      <c r="B37" s="482"/>
      <c r="C37" s="491"/>
    </row>
    <row r="38" spans="1:3" ht="13.5" customHeight="1" x14ac:dyDescent="0.3">
      <c r="A38" s="861"/>
      <c r="B38" s="482"/>
      <c r="C38" s="491"/>
    </row>
    <row r="39" spans="1:3" ht="13.5" customHeight="1" x14ac:dyDescent="0.3">
      <c r="A39" s="861"/>
      <c r="B39" s="482"/>
      <c r="C39" s="491"/>
    </row>
    <row r="40" spans="1:3" ht="13.5" customHeight="1" x14ac:dyDescent="0.3">
      <c r="A40" s="861"/>
      <c r="B40" s="482"/>
      <c r="C40" s="491"/>
    </row>
    <row r="41" spans="1:3" ht="13.5" customHeight="1" x14ac:dyDescent="0.3">
      <c r="A41" s="861"/>
      <c r="B41" s="482"/>
      <c r="C41" s="491"/>
    </row>
    <row r="42" spans="1:3" ht="13.5" customHeight="1" x14ac:dyDescent="0.3">
      <c r="A42" s="861"/>
      <c r="B42" s="482"/>
      <c r="C42" s="491"/>
    </row>
    <row r="43" spans="1:3" ht="13.5" customHeight="1" x14ac:dyDescent="0.3">
      <c r="A43" s="861"/>
      <c r="B43" s="482"/>
      <c r="C43" s="491"/>
    </row>
    <row r="44" spans="1:3" ht="13.5" customHeight="1" x14ac:dyDescent="0.3">
      <c r="A44" s="861"/>
      <c r="B44" s="482"/>
      <c r="C44" s="491"/>
    </row>
    <row r="45" spans="1:3" ht="13.5" customHeight="1" x14ac:dyDescent="0.3">
      <c r="A45" s="861"/>
      <c r="B45" s="482"/>
      <c r="C45" s="491"/>
    </row>
    <row r="46" spans="1:3" ht="13.5" customHeight="1" x14ac:dyDescent="0.3">
      <c r="A46" s="861"/>
      <c r="B46" s="482"/>
      <c r="C46" s="491"/>
    </row>
    <row r="47" spans="1:3" ht="13.5" customHeight="1" x14ac:dyDescent="0.3">
      <c r="A47" s="861"/>
      <c r="B47" s="482"/>
      <c r="C47" s="491"/>
    </row>
    <row r="48" spans="1:3" ht="13.5" customHeight="1" x14ac:dyDescent="0.3">
      <c r="A48" s="861"/>
      <c r="B48" s="482"/>
      <c r="C48" s="491"/>
    </row>
    <row r="49" spans="1:6" ht="13.5" customHeight="1" x14ac:dyDescent="0.3">
      <c r="A49" s="861"/>
      <c r="B49" s="482"/>
      <c r="C49" s="491"/>
    </row>
    <row r="50" spans="1:6" ht="15" customHeight="1" x14ac:dyDescent="0.3">
      <c r="A50" s="861"/>
      <c r="B50" s="482"/>
      <c r="C50" s="491"/>
      <c r="F50" s="405"/>
    </row>
    <row r="51" spans="1:6" ht="12.75" customHeight="1" x14ac:dyDescent="0.3">
      <c r="A51" s="861"/>
      <c r="B51" s="397"/>
      <c r="C51" s="406"/>
      <c r="D51" s="407"/>
      <c r="E51" s="407"/>
      <c r="F51" s="405"/>
    </row>
    <row r="52" spans="1:6" ht="30.75" customHeight="1" x14ac:dyDescent="0.3">
      <c r="A52" s="861"/>
      <c r="B52" s="397"/>
      <c r="C52" s="406"/>
      <c r="D52" s="407"/>
      <c r="E52" s="407"/>
      <c r="F52" s="405"/>
    </row>
    <row r="53" spans="1:6" ht="18" customHeight="1" x14ac:dyDescent="0.3">
      <c r="A53" s="861"/>
      <c r="B53" s="397"/>
      <c r="C53" s="406"/>
      <c r="D53" s="407"/>
      <c r="E53" s="407"/>
      <c r="F53" s="405"/>
    </row>
    <row r="54" spans="1:6" ht="15" customHeight="1" x14ac:dyDescent="0.3">
      <c r="A54" s="861"/>
      <c r="B54" s="397"/>
      <c r="C54" s="406"/>
      <c r="D54" s="407"/>
      <c r="E54" s="407"/>
      <c r="F54" s="405"/>
    </row>
    <row r="55" spans="1:6" ht="16.5" customHeight="1" x14ac:dyDescent="0.3">
      <c r="A55" s="861"/>
      <c r="B55" s="397"/>
      <c r="C55" s="406"/>
      <c r="D55" s="407"/>
      <c r="E55" s="407"/>
      <c r="F55" s="405"/>
    </row>
    <row r="56" spans="1:6" ht="16.5" customHeight="1" x14ac:dyDescent="0.3">
      <c r="A56" s="861"/>
      <c r="B56" s="397"/>
      <c r="C56" s="406"/>
      <c r="D56" s="407"/>
      <c r="E56" s="407"/>
      <c r="F56" s="405"/>
    </row>
    <row r="57" spans="1:6" ht="16.5" customHeight="1" x14ac:dyDescent="0.3">
      <c r="A57" s="861"/>
      <c r="B57" s="397"/>
      <c r="C57" s="406"/>
      <c r="D57" s="407"/>
      <c r="E57" s="407"/>
      <c r="F57" s="405"/>
    </row>
    <row r="58" spans="1:6" ht="17.25" customHeight="1" x14ac:dyDescent="0.3">
      <c r="A58" s="861"/>
      <c r="B58" s="397"/>
      <c r="C58" s="406"/>
      <c r="D58" s="407"/>
      <c r="E58" s="407"/>
      <c r="F58" s="405"/>
    </row>
    <row r="59" spans="1:6" ht="17.25" customHeight="1" x14ac:dyDescent="0.3">
      <c r="A59" s="861"/>
      <c r="B59" s="397"/>
      <c r="C59" s="406"/>
      <c r="D59" s="407"/>
      <c r="E59" s="407"/>
      <c r="F59" s="405"/>
    </row>
    <row r="60" spans="1:6" ht="16.5" customHeight="1" x14ac:dyDescent="0.3">
      <c r="A60" s="861"/>
      <c r="B60" s="397"/>
      <c r="C60" s="406"/>
      <c r="D60" s="407"/>
      <c r="E60" s="407"/>
      <c r="F60" s="405"/>
    </row>
    <row r="61" spans="1:6" ht="17.25" customHeight="1" x14ac:dyDescent="0.3">
      <c r="A61" s="861"/>
      <c r="B61" s="397"/>
      <c r="C61" s="406"/>
      <c r="D61" s="407"/>
      <c r="E61" s="407"/>
      <c r="F61" s="405"/>
    </row>
    <row r="62" spans="1:6" ht="27.75" customHeight="1" x14ac:dyDescent="0.3">
      <c r="A62" s="861"/>
      <c r="B62" s="397"/>
      <c r="C62" s="406"/>
      <c r="D62" s="407"/>
      <c r="E62" s="407"/>
      <c r="F62" s="405"/>
    </row>
    <row r="63" spans="1:6" ht="26.25" customHeight="1" x14ac:dyDescent="0.3">
      <c r="A63" s="861"/>
      <c r="B63" s="397"/>
      <c r="C63" s="406"/>
      <c r="D63" s="407"/>
      <c r="E63" s="407"/>
      <c r="F63" s="405"/>
    </row>
    <row r="64" spans="1:6" ht="14.15" x14ac:dyDescent="0.3">
      <c r="A64" s="861"/>
      <c r="B64" s="397"/>
      <c r="C64" s="406"/>
      <c r="D64" s="407"/>
      <c r="E64" s="407"/>
      <c r="F64" s="405"/>
    </row>
    <row r="65" spans="1:11" ht="12.9" thickBot="1" x14ac:dyDescent="0.35">
      <c r="A65" s="861"/>
    </row>
    <row r="66" spans="1:11" ht="9.75" customHeight="1" thickTop="1" thickBot="1" x14ac:dyDescent="0.35">
      <c r="A66" s="862"/>
      <c r="B66" s="859"/>
      <c r="C66" s="859"/>
      <c r="D66" s="859"/>
      <c r="E66" s="859"/>
      <c r="F66" s="859"/>
      <c r="G66" s="859"/>
      <c r="H66" s="859"/>
      <c r="I66" s="859"/>
      <c r="J66" s="859"/>
      <c r="K66" s="859"/>
    </row>
    <row r="67" spans="1:11" ht="12.9" thickTop="1" x14ac:dyDescent="0.3"/>
  </sheetData>
  <sheetProtection algorithmName="SHA-512" hashValue="x5qlDG0wK9ez0VI6AdFCQmYTzLcOxvVBSHLsadnH5TgVL/gBxTmg3otG2huFiooFVJF91+lb1HQQAz0ZXTTISA==" saltValue="bwLiyLdtFpVGUDewwvLxnw==" spinCount="100000" sheet="1" objects="1" scenarios="1" selectLockedCells="1" selectUnlockedCells="1"/>
  <mergeCells count="31">
    <mergeCell ref="D13:F13"/>
    <mergeCell ref="H13:H14"/>
    <mergeCell ref="I13:I14"/>
    <mergeCell ref="K11:K12"/>
    <mergeCell ref="L10:L11"/>
    <mergeCell ref="H11:H12"/>
    <mergeCell ref="I11:I12"/>
    <mergeCell ref="K9:K10"/>
    <mergeCell ref="J13:J14"/>
    <mergeCell ref="K13:K14"/>
    <mergeCell ref="J9:J10"/>
    <mergeCell ref="G13:G14"/>
    <mergeCell ref="D14:F14"/>
    <mergeCell ref="C4:L4"/>
    <mergeCell ref="B5:C5"/>
    <mergeCell ref="D5:F5"/>
    <mergeCell ref="G5:G6"/>
    <mergeCell ref="H5:K5"/>
    <mergeCell ref="B7:C7"/>
    <mergeCell ref="L5:L6"/>
    <mergeCell ref="H6:H7"/>
    <mergeCell ref="J11:J12"/>
    <mergeCell ref="C10:C11"/>
    <mergeCell ref="D10:F11"/>
    <mergeCell ref="D8:F8"/>
    <mergeCell ref="D9:F9"/>
    <mergeCell ref="D7:F7"/>
    <mergeCell ref="G9:G12"/>
    <mergeCell ref="H9:H10"/>
    <mergeCell ref="D12:F12"/>
    <mergeCell ref="I9:I10"/>
  </mergeCells>
  <phoneticPr fontId="65" type="noConversion"/>
  <pageMargins left="0.62992125984251968" right="0.43307086614173229" top="0.70866141732283472" bottom="0.55118110236220474" header="0.55118110236220474" footer="0.35433070866141736"/>
  <pageSetup paperSize="9" scale="65" orientation="portrait" r:id="rId1"/>
  <headerFooter alignWithMargins="0">
    <oddHeader>&amp;L&amp;12&amp;F</oddHeader>
    <oddFooter>&amp;L&amp;12&amp;A&amp;RAPTA - Associação de Produtores de Tubos e Acessórios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12">
    <tabColor indexed="16"/>
  </sheetPr>
  <dimension ref="A1:L67"/>
  <sheetViews>
    <sheetView showGridLines="0" showRowColHeaders="0" zoomScale="110" zoomScaleNormal="110" workbookViewId="0">
      <selection activeCell="O14" sqref="O14"/>
    </sheetView>
  </sheetViews>
  <sheetFormatPr defaultColWidth="9.15234375" defaultRowHeight="12.45" x14ac:dyDescent="0.3"/>
  <cols>
    <col min="1" max="1" width="1.53515625" style="1" customWidth="1"/>
    <col min="2" max="3" width="12.84375" style="1" customWidth="1"/>
    <col min="4" max="4" width="17.3828125" style="1" customWidth="1"/>
    <col min="5" max="5" width="16.15234375" style="1" customWidth="1"/>
    <col min="6" max="6" width="15.84375" style="1" customWidth="1"/>
    <col min="7" max="7" width="14.15234375" style="1" customWidth="1"/>
    <col min="8" max="8" width="10.3046875" style="1" customWidth="1"/>
    <col min="9" max="9" width="6.3046875" style="1" customWidth="1"/>
    <col min="10" max="10" width="6.3828125" style="1" customWidth="1"/>
    <col min="11" max="11" width="6.53515625" style="1" customWidth="1"/>
    <col min="12" max="12" width="18.69140625" style="1" customWidth="1"/>
    <col min="13" max="13" width="1" style="1" customWidth="1"/>
    <col min="14" max="14" width="0.53515625" style="1" customWidth="1"/>
    <col min="15" max="15" width="27.53515625" style="1" customWidth="1"/>
    <col min="16" max="16384" width="9.15234375" style="1"/>
  </cols>
  <sheetData>
    <row r="1" spans="1:12" ht="8.25" customHeight="1" thickTop="1" x14ac:dyDescent="0.3">
      <c r="A1" s="860"/>
    </row>
    <row r="2" spans="1:12" ht="24.75" customHeight="1" x14ac:dyDescent="0.3">
      <c r="A2" s="861"/>
      <c r="B2" s="1349"/>
      <c r="C2" s="1351"/>
      <c r="D2" s="1351"/>
      <c r="E2" s="1351"/>
      <c r="F2" s="1351"/>
      <c r="G2" s="1351"/>
      <c r="H2" s="1351"/>
      <c r="I2" s="1351"/>
      <c r="J2" s="1351"/>
      <c r="K2" s="1351"/>
    </row>
    <row r="3" spans="1:12" ht="7.5" customHeight="1" x14ac:dyDescent="0.3">
      <c r="A3" s="861"/>
    </row>
    <row r="4" spans="1:12" ht="19.5" customHeight="1" x14ac:dyDescent="0.3">
      <c r="A4" s="861"/>
      <c r="B4" s="483"/>
      <c r="C4" s="1635"/>
      <c r="D4" s="1636"/>
      <c r="E4" s="1636"/>
      <c r="F4" s="1636"/>
      <c r="G4" s="1636"/>
      <c r="H4" s="1627"/>
      <c r="I4" s="1627"/>
      <c r="J4" s="1627"/>
      <c r="K4" s="1627"/>
      <c r="L4" s="1627"/>
    </row>
    <row r="5" spans="1:12" ht="32.25" customHeight="1" x14ac:dyDescent="0.3">
      <c r="A5" s="861"/>
      <c r="B5" s="1624"/>
      <c r="C5" s="1624"/>
      <c r="D5" s="1624"/>
      <c r="E5" s="1624"/>
      <c r="F5" s="1624"/>
      <c r="G5" s="1625"/>
      <c r="H5" s="1637"/>
      <c r="I5" s="1637"/>
      <c r="J5" s="1637"/>
      <c r="K5" s="1637"/>
      <c r="L5" s="1625"/>
    </row>
    <row r="6" spans="1:12" ht="15" customHeight="1" x14ac:dyDescent="0.3">
      <c r="A6" s="861"/>
      <c r="B6" s="480"/>
      <c r="C6" s="480"/>
      <c r="D6" s="480"/>
      <c r="E6" s="480"/>
      <c r="F6" s="480"/>
      <c r="G6" s="1625"/>
      <c r="H6" s="1626"/>
      <c r="I6" s="481"/>
      <c r="J6" s="481"/>
      <c r="K6" s="481"/>
      <c r="L6" s="1625"/>
    </row>
    <row r="7" spans="1:12" ht="18" customHeight="1" x14ac:dyDescent="0.3">
      <c r="A7" s="861"/>
      <c r="B7" s="1624"/>
      <c r="C7" s="1624"/>
      <c r="D7" s="1624"/>
      <c r="E7" s="1624"/>
      <c r="F7" s="1624"/>
      <c r="G7" s="484"/>
      <c r="H7" s="1627"/>
      <c r="I7" s="484"/>
      <c r="J7" s="484"/>
      <c r="K7" s="484"/>
      <c r="L7" s="484"/>
    </row>
    <row r="8" spans="1:12" ht="28.5" customHeight="1" x14ac:dyDescent="0.3">
      <c r="A8" s="861"/>
      <c r="B8" s="485"/>
      <c r="C8" s="480"/>
      <c r="D8" s="1631"/>
      <c r="E8" s="1631"/>
      <c r="F8" s="1631"/>
      <c r="G8" s="486"/>
      <c r="H8" s="487"/>
      <c r="I8" s="488"/>
      <c r="J8" s="488"/>
      <c r="K8" s="489"/>
      <c r="L8" s="490"/>
    </row>
    <row r="9" spans="1:12" ht="39" customHeight="1" x14ac:dyDescent="0.3">
      <c r="A9" s="861"/>
      <c r="B9" s="485"/>
      <c r="C9" s="480"/>
      <c r="D9" s="1631"/>
      <c r="E9" s="1631"/>
      <c r="F9" s="1631"/>
      <c r="G9" s="1633"/>
      <c r="H9" s="1634"/>
      <c r="I9" s="1628"/>
      <c r="J9" s="1628"/>
      <c r="K9" s="1638"/>
      <c r="L9" s="490"/>
    </row>
    <row r="10" spans="1:12" ht="17.25" customHeight="1" x14ac:dyDescent="0.3">
      <c r="A10" s="861"/>
      <c r="B10" s="485"/>
      <c r="C10" s="1624"/>
      <c r="D10" s="1631"/>
      <c r="E10" s="1631"/>
      <c r="F10" s="1632"/>
      <c r="G10" s="1633"/>
      <c r="H10" s="1630"/>
      <c r="I10" s="1630"/>
      <c r="J10" s="1630"/>
      <c r="K10" s="1630"/>
      <c r="L10" s="1639"/>
    </row>
    <row r="11" spans="1:12" ht="15" customHeight="1" x14ac:dyDescent="0.3">
      <c r="A11" s="861"/>
      <c r="B11" s="485"/>
      <c r="C11" s="1630"/>
      <c r="D11" s="1632"/>
      <c r="E11" s="1632"/>
      <c r="F11" s="1632"/>
      <c r="G11" s="1633"/>
      <c r="H11" s="1634"/>
      <c r="I11" s="1628"/>
      <c r="J11" s="1628"/>
      <c r="K11" s="1638"/>
      <c r="L11" s="1630"/>
    </row>
    <row r="12" spans="1:12" ht="30" customHeight="1" x14ac:dyDescent="0.3">
      <c r="A12" s="861"/>
      <c r="B12" s="485"/>
      <c r="C12" s="480"/>
      <c r="D12" s="1631"/>
      <c r="E12" s="1631"/>
      <c r="F12" s="1631"/>
      <c r="G12" s="1633"/>
      <c r="H12" s="1640"/>
      <c r="I12" s="1629"/>
      <c r="J12" s="1629"/>
      <c r="K12" s="1629"/>
      <c r="L12" s="490"/>
    </row>
    <row r="13" spans="1:12" ht="28.5" customHeight="1" x14ac:dyDescent="0.3">
      <c r="A13" s="861"/>
      <c r="B13" s="485"/>
      <c r="C13" s="480"/>
      <c r="D13" s="1631"/>
      <c r="E13" s="1631"/>
      <c r="F13" s="1631"/>
      <c r="G13" s="1633"/>
      <c r="H13" s="1634"/>
      <c r="I13" s="1628"/>
      <c r="J13" s="1628"/>
      <c r="K13" s="1638"/>
      <c r="L13" s="490"/>
    </row>
    <row r="14" spans="1:12" ht="29.25" customHeight="1" x14ac:dyDescent="0.3">
      <c r="A14" s="861"/>
      <c r="B14" s="485"/>
      <c r="C14" s="480"/>
      <c r="D14" s="1631"/>
      <c r="E14" s="1631"/>
      <c r="F14" s="1631"/>
      <c r="G14" s="1633"/>
      <c r="H14" s="1629"/>
      <c r="I14" s="1629"/>
      <c r="J14" s="1629"/>
      <c r="K14" s="1629"/>
      <c r="L14" s="490"/>
    </row>
    <row r="15" spans="1:12" x14ac:dyDescent="0.3">
      <c r="A15" s="861"/>
      <c r="B15" s="482"/>
      <c r="C15" s="491"/>
    </row>
    <row r="16" spans="1:12" x14ac:dyDescent="0.3">
      <c r="A16" s="861"/>
      <c r="B16" s="482"/>
      <c r="C16" s="491"/>
    </row>
    <row r="17" spans="1:7" ht="11.25" customHeight="1" thickBot="1" x14ac:dyDescent="0.35">
      <c r="A17" s="861"/>
      <c r="B17" s="482"/>
      <c r="C17" s="491"/>
    </row>
    <row r="18" spans="1:7" ht="33.75" customHeight="1" thickTop="1" thickBot="1" x14ac:dyDescent="0.35">
      <c r="A18" s="861"/>
      <c r="B18" s="482"/>
      <c r="C18" s="491"/>
      <c r="G18" s="358"/>
    </row>
    <row r="19" spans="1:7" ht="15.75" customHeight="1" thickTop="1" x14ac:dyDescent="0.3">
      <c r="A19" s="861"/>
      <c r="B19" s="482"/>
      <c r="C19" s="491"/>
    </row>
    <row r="20" spans="1:7" ht="15.75" customHeight="1" x14ac:dyDescent="0.3">
      <c r="A20" s="861"/>
      <c r="B20" s="482"/>
      <c r="C20" s="491"/>
    </row>
    <row r="21" spans="1:7" x14ac:dyDescent="0.3">
      <c r="A21" s="861"/>
      <c r="B21" s="482"/>
      <c r="C21" s="491"/>
    </row>
    <row r="22" spans="1:7" x14ac:dyDescent="0.3">
      <c r="A22" s="861"/>
      <c r="B22" s="482"/>
      <c r="C22" s="491"/>
    </row>
    <row r="23" spans="1:7" x14ac:dyDescent="0.3">
      <c r="A23" s="861"/>
      <c r="B23" s="482"/>
      <c r="C23" s="491"/>
    </row>
    <row r="24" spans="1:7" x14ac:dyDescent="0.3">
      <c r="A24" s="861"/>
      <c r="B24" s="482"/>
      <c r="C24" s="491"/>
    </row>
    <row r="25" spans="1:7" ht="12.75" customHeight="1" thickBot="1" x14ac:dyDescent="0.35">
      <c r="A25" s="861"/>
      <c r="B25" s="482"/>
      <c r="C25" s="491"/>
    </row>
    <row r="26" spans="1:7" ht="45" customHeight="1" thickTop="1" thickBot="1" x14ac:dyDescent="0.35">
      <c r="A26" s="861"/>
      <c r="B26" s="482"/>
      <c r="C26" s="491"/>
      <c r="F26" s="321"/>
    </row>
    <row r="27" spans="1:7" ht="14.25" customHeight="1" thickTop="1" x14ac:dyDescent="0.3">
      <c r="A27" s="861"/>
      <c r="B27" s="482"/>
      <c r="C27" s="491"/>
    </row>
    <row r="28" spans="1:7" ht="15" customHeight="1" x14ac:dyDescent="0.3">
      <c r="A28" s="861"/>
      <c r="B28" s="482"/>
      <c r="C28" s="491"/>
    </row>
    <row r="29" spans="1:7" x14ac:dyDescent="0.3">
      <c r="A29" s="861"/>
      <c r="B29" s="482"/>
      <c r="C29" s="491"/>
    </row>
    <row r="30" spans="1:7" ht="15.75" customHeight="1" x14ac:dyDescent="0.3">
      <c r="A30" s="861"/>
      <c r="B30" s="482"/>
      <c r="C30" s="491"/>
    </row>
    <row r="31" spans="1:7" ht="13.5" customHeight="1" x14ac:dyDescent="0.3">
      <c r="A31" s="861"/>
      <c r="B31" s="482"/>
      <c r="C31" s="491"/>
    </row>
    <row r="32" spans="1:7" ht="13.5" customHeight="1" x14ac:dyDescent="0.3">
      <c r="A32" s="861"/>
      <c r="B32" s="482"/>
      <c r="C32" s="491"/>
    </row>
    <row r="33" spans="1:3" ht="13.5" customHeight="1" x14ac:dyDescent="0.3">
      <c r="A33" s="861"/>
      <c r="B33" s="482"/>
      <c r="C33" s="491"/>
    </row>
    <row r="34" spans="1:3" ht="13.5" customHeight="1" x14ac:dyDescent="0.3">
      <c r="A34" s="861"/>
      <c r="B34" s="482"/>
      <c r="C34" s="491"/>
    </row>
    <row r="35" spans="1:3" ht="13.5" customHeight="1" x14ac:dyDescent="0.3">
      <c r="A35" s="861"/>
      <c r="B35" s="482"/>
      <c r="C35" s="491"/>
    </row>
    <row r="36" spans="1:3" ht="13.5" customHeight="1" x14ac:dyDescent="0.3">
      <c r="A36" s="861"/>
      <c r="B36" s="482"/>
      <c r="C36" s="491"/>
    </row>
    <row r="37" spans="1:3" ht="13.5" customHeight="1" x14ac:dyDescent="0.3">
      <c r="A37" s="861"/>
      <c r="B37" s="482"/>
      <c r="C37" s="491"/>
    </row>
    <row r="38" spans="1:3" ht="13.5" customHeight="1" x14ac:dyDescent="0.3">
      <c r="A38" s="861"/>
      <c r="B38" s="482"/>
      <c r="C38" s="491"/>
    </row>
    <row r="39" spans="1:3" ht="13.5" customHeight="1" x14ac:dyDescent="0.3">
      <c r="A39" s="861"/>
      <c r="B39" s="482"/>
      <c r="C39" s="491"/>
    </row>
    <row r="40" spans="1:3" ht="13.5" customHeight="1" x14ac:dyDescent="0.3">
      <c r="A40" s="861"/>
      <c r="B40" s="482"/>
      <c r="C40" s="491"/>
    </row>
    <row r="41" spans="1:3" ht="13.5" customHeight="1" x14ac:dyDescent="0.3">
      <c r="A41" s="861"/>
      <c r="B41" s="482"/>
      <c r="C41" s="491"/>
    </row>
    <row r="42" spans="1:3" ht="13.5" customHeight="1" x14ac:dyDescent="0.3">
      <c r="A42" s="861"/>
      <c r="B42" s="482"/>
      <c r="C42" s="491"/>
    </row>
    <row r="43" spans="1:3" ht="13.5" customHeight="1" x14ac:dyDescent="0.3">
      <c r="A43" s="861"/>
      <c r="B43" s="482"/>
      <c r="C43" s="491"/>
    </row>
    <row r="44" spans="1:3" ht="13.5" customHeight="1" x14ac:dyDescent="0.3">
      <c r="A44" s="861"/>
      <c r="B44" s="482"/>
      <c r="C44" s="491"/>
    </row>
    <row r="45" spans="1:3" ht="13.5" customHeight="1" x14ac:dyDescent="0.3">
      <c r="A45" s="861"/>
      <c r="B45" s="482"/>
      <c r="C45" s="491"/>
    </row>
    <row r="46" spans="1:3" ht="13.5" customHeight="1" x14ac:dyDescent="0.3">
      <c r="A46" s="861"/>
      <c r="B46" s="482"/>
      <c r="C46" s="491"/>
    </row>
    <row r="47" spans="1:3" ht="13.5" customHeight="1" x14ac:dyDescent="0.3">
      <c r="A47" s="861"/>
      <c r="B47" s="482"/>
      <c r="C47" s="491"/>
    </row>
    <row r="48" spans="1:3" ht="13.5" customHeight="1" x14ac:dyDescent="0.3">
      <c r="A48" s="861"/>
      <c r="B48" s="482"/>
      <c r="C48" s="491"/>
    </row>
    <row r="49" spans="1:6" ht="13.5" customHeight="1" x14ac:dyDescent="0.3">
      <c r="A49" s="861"/>
      <c r="B49" s="482"/>
      <c r="C49" s="491"/>
    </row>
    <row r="50" spans="1:6" ht="15" customHeight="1" x14ac:dyDescent="0.3">
      <c r="A50" s="861"/>
      <c r="B50" s="482"/>
      <c r="C50" s="491"/>
      <c r="F50" s="405"/>
    </row>
    <row r="51" spans="1:6" ht="12.75" customHeight="1" x14ac:dyDescent="0.3">
      <c r="A51" s="861"/>
      <c r="B51" s="397"/>
      <c r="C51" s="406"/>
      <c r="D51" s="407"/>
      <c r="E51" s="407"/>
      <c r="F51" s="405"/>
    </row>
    <row r="52" spans="1:6" ht="30.75" customHeight="1" x14ac:dyDescent="0.3">
      <c r="A52" s="861"/>
      <c r="B52" s="397"/>
      <c r="C52" s="406"/>
      <c r="D52" s="407"/>
      <c r="E52" s="407"/>
      <c r="F52" s="405"/>
    </row>
    <row r="53" spans="1:6" ht="18" customHeight="1" x14ac:dyDescent="0.3">
      <c r="A53" s="861"/>
      <c r="B53" s="397"/>
      <c r="C53" s="406"/>
      <c r="D53" s="407"/>
      <c r="E53" s="407"/>
      <c r="F53" s="405"/>
    </row>
    <row r="54" spans="1:6" ht="15" customHeight="1" x14ac:dyDescent="0.3">
      <c r="A54" s="861"/>
      <c r="B54" s="397"/>
      <c r="C54" s="406"/>
      <c r="D54" s="407"/>
      <c r="E54" s="407"/>
      <c r="F54" s="405"/>
    </row>
    <row r="55" spans="1:6" ht="16.5" customHeight="1" x14ac:dyDescent="0.3">
      <c r="A55" s="861"/>
      <c r="B55" s="397"/>
      <c r="C55" s="406"/>
      <c r="D55" s="407"/>
      <c r="E55" s="407"/>
      <c r="F55" s="405"/>
    </row>
    <row r="56" spans="1:6" ht="16.5" customHeight="1" x14ac:dyDescent="0.3">
      <c r="A56" s="861"/>
      <c r="B56" s="397"/>
      <c r="C56" s="406"/>
      <c r="D56" s="407"/>
      <c r="E56" s="407"/>
      <c r="F56" s="405"/>
    </row>
    <row r="57" spans="1:6" ht="16.5" customHeight="1" x14ac:dyDescent="0.3">
      <c r="A57" s="861"/>
      <c r="B57" s="397"/>
      <c r="C57" s="406"/>
      <c r="D57" s="407"/>
      <c r="E57" s="407"/>
      <c r="F57" s="405"/>
    </row>
    <row r="58" spans="1:6" ht="17.25" customHeight="1" x14ac:dyDescent="0.3">
      <c r="A58" s="861"/>
      <c r="B58" s="397"/>
      <c r="C58" s="406"/>
      <c r="D58" s="407"/>
      <c r="E58" s="407"/>
      <c r="F58" s="405"/>
    </row>
    <row r="59" spans="1:6" ht="17.25" customHeight="1" x14ac:dyDescent="0.3">
      <c r="A59" s="861"/>
      <c r="B59" s="397"/>
      <c r="C59" s="406"/>
      <c r="D59" s="407"/>
      <c r="E59" s="407"/>
      <c r="F59" s="405"/>
    </row>
    <row r="60" spans="1:6" ht="16.5" customHeight="1" x14ac:dyDescent="0.3">
      <c r="A60" s="861"/>
      <c r="B60" s="397"/>
      <c r="C60" s="406"/>
      <c r="D60" s="407"/>
      <c r="E60" s="407"/>
      <c r="F60" s="405"/>
    </row>
    <row r="61" spans="1:6" ht="17.25" customHeight="1" x14ac:dyDescent="0.3">
      <c r="A61" s="861"/>
      <c r="B61" s="397"/>
      <c r="C61" s="406"/>
      <c r="D61" s="407"/>
      <c r="E61" s="407"/>
      <c r="F61" s="405"/>
    </row>
    <row r="62" spans="1:6" ht="27.75" customHeight="1" x14ac:dyDescent="0.3">
      <c r="A62" s="861"/>
      <c r="B62" s="397"/>
      <c r="C62" s="406"/>
      <c r="D62" s="407"/>
      <c r="E62" s="407"/>
      <c r="F62" s="405"/>
    </row>
    <row r="63" spans="1:6" ht="26.25" customHeight="1" x14ac:dyDescent="0.3">
      <c r="A63" s="861"/>
      <c r="B63" s="397"/>
      <c r="C63" s="406"/>
      <c r="D63" s="407"/>
      <c r="E63" s="407"/>
      <c r="F63" s="405"/>
    </row>
    <row r="64" spans="1:6" ht="14.15" x14ac:dyDescent="0.3">
      <c r="A64" s="861"/>
      <c r="B64" s="397"/>
      <c r="C64" s="406"/>
      <c r="D64" s="407"/>
      <c r="E64" s="407"/>
      <c r="F64" s="405"/>
    </row>
    <row r="65" spans="1:11" ht="12.9" thickBot="1" x14ac:dyDescent="0.35">
      <c r="A65" s="861"/>
    </row>
    <row r="66" spans="1:11" ht="9" customHeight="1" thickTop="1" thickBot="1" x14ac:dyDescent="0.35">
      <c r="A66" s="862"/>
      <c r="B66" s="859"/>
      <c r="C66" s="859"/>
      <c r="D66" s="859"/>
      <c r="E66" s="859"/>
      <c r="F66" s="859"/>
      <c r="G66" s="859"/>
      <c r="H66" s="859"/>
      <c r="I66" s="859"/>
      <c r="J66" s="859"/>
      <c r="K66" s="859"/>
    </row>
    <row r="67" spans="1:11" ht="12.9" thickTop="1" x14ac:dyDescent="0.3"/>
  </sheetData>
  <sheetProtection algorithmName="SHA-512" hashValue="cVtoA+agKiadpi1LCxugjLg+IWdpBccRamrwUdSzSzj8PKTkKFqFqrg4W6EShnIbSJoYb2qIwwfg3MOn30/22w==" saltValue="HTiuHVqgIhj9zKOhWPBsLw==" spinCount="100000" sheet="1" objects="1" scenarios="1" selectLockedCells="1" selectUnlockedCells="1"/>
  <mergeCells count="31">
    <mergeCell ref="C4:L4"/>
    <mergeCell ref="B5:C5"/>
    <mergeCell ref="D5:F5"/>
    <mergeCell ref="G5:G6"/>
    <mergeCell ref="H5:K5"/>
    <mergeCell ref="L5:L6"/>
    <mergeCell ref="H6:H7"/>
    <mergeCell ref="B7:C7"/>
    <mergeCell ref="D7:F7"/>
    <mergeCell ref="D8:F8"/>
    <mergeCell ref="D9:F9"/>
    <mergeCell ref="G9:G12"/>
    <mergeCell ref="H9:H10"/>
    <mergeCell ref="I9:I10"/>
    <mergeCell ref="L10:L11"/>
    <mergeCell ref="H11:H12"/>
    <mergeCell ref="I11:I12"/>
    <mergeCell ref="J11:J12"/>
    <mergeCell ref="K11:K12"/>
    <mergeCell ref="J9:J10"/>
    <mergeCell ref="K13:K14"/>
    <mergeCell ref="D14:F14"/>
    <mergeCell ref="K9:K10"/>
    <mergeCell ref="C10:C11"/>
    <mergeCell ref="D10:F11"/>
    <mergeCell ref="D12:F12"/>
    <mergeCell ref="D13:F13"/>
    <mergeCell ref="G13:G14"/>
    <mergeCell ref="H13:H14"/>
    <mergeCell ref="I13:I14"/>
    <mergeCell ref="J13:J14"/>
  </mergeCells>
  <pageMargins left="0.62" right="0.42" top="0.78" bottom="0.56999999999999995" header="0.55000000000000004" footer="0.36"/>
  <pageSetup paperSize="9" scale="65" orientation="portrait" r:id="rId1"/>
  <headerFooter alignWithMargins="0">
    <oddHeader>&amp;L&amp;12&amp;F</oddHeader>
    <oddFooter>&amp;L&amp;12&amp;A&amp;RAPTA - Associação de Produtores de Tubos e Acessórios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1">
    <tabColor indexed="16"/>
  </sheetPr>
  <dimension ref="A1:Q67"/>
  <sheetViews>
    <sheetView showGridLines="0" showRowColHeaders="0" zoomScale="110" zoomScaleNormal="110" workbookViewId="0">
      <selection activeCell="A2" sqref="A2"/>
    </sheetView>
  </sheetViews>
  <sheetFormatPr defaultColWidth="9.15234375" defaultRowHeight="12.45" x14ac:dyDescent="0.3"/>
  <cols>
    <col min="1" max="1" width="1.53515625" style="1" customWidth="1"/>
    <col min="2" max="3" width="12.84375" style="1" customWidth="1"/>
    <col min="4" max="4" width="17.3828125" style="1" customWidth="1"/>
    <col min="5" max="5" width="16.15234375" style="1" customWidth="1"/>
    <col min="6" max="6" width="15.84375" style="1" customWidth="1"/>
    <col min="7" max="7" width="14.15234375" style="1" customWidth="1"/>
    <col min="8" max="8" width="10.3046875" style="1" customWidth="1"/>
    <col min="9" max="9" width="6.3046875" style="1" customWidth="1"/>
    <col min="10" max="10" width="6.3828125" style="1" customWidth="1"/>
    <col min="11" max="11" width="7.3046875" style="1" customWidth="1"/>
    <col min="12" max="12" width="11" style="1" customWidth="1"/>
    <col min="13" max="13" width="10.53515625" style="1" customWidth="1"/>
    <col min="14" max="14" width="3.15234375" style="1" customWidth="1"/>
    <col min="15" max="15" width="27.53515625" style="1" customWidth="1"/>
    <col min="16" max="16384" width="9.15234375" style="1"/>
  </cols>
  <sheetData>
    <row r="1" spans="1:17" ht="8.25" customHeight="1" thickTop="1" x14ac:dyDescent="0.3">
      <c r="A1" s="860"/>
    </row>
    <row r="2" spans="1:17" ht="24.75" customHeight="1" x14ac:dyDescent="0.3">
      <c r="A2" s="861"/>
      <c r="B2" s="1349"/>
      <c r="C2" s="1351"/>
      <c r="D2" s="1351"/>
      <c r="E2" s="1351"/>
      <c r="F2" s="1351"/>
      <c r="G2" s="1351"/>
      <c r="H2" s="1351"/>
      <c r="I2" s="1351"/>
      <c r="J2" s="1351"/>
      <c r="K2" s="1351"/>
      <c r="O2" s="1215" t="s">
        <v>828</v>
      </c>
      <c r="P2" s="117">
        <v>8</v>
      </c>
      <c r="Q2" s="803">
        <v>1</v>
      </c>
    </row>
    <row r="3" spans="1:17" ht="7.5" customHeight="1" thickBot="1" x14ac:dyDescent="0.35">
      <c r="A3" s="861"/>
      <c r="O3" s="1215" t="s">
        <v>829</v>
      </c>
      <c r="P3" s="117">
        <v>9</v>
      </c>
      <c r="Q3" s="803">
        <v>2</v>
      </c>
    </row>
    <row r="4" spans="1:17" ht="19.5" customHeight="1" thickTop="1" thickBot="1" x14ac:dyDescent="0.35">
      <c r="A4" s="861"/>
      <c r="B4" s="447" t="s">
        <v>144</v>
      </c>
      <c r="C4" s="1655" t="s">
        <v>223</v>
      </c>
      <c r="D4" s="1656"/>
      <c r="E4" s="1656"/>
      <c r="F4" s="1656"/>
      <c r="G4" s="1656"/>
      <c r="H4" s="1657"/>
      <c r="I4" s="1657"/>
      <c r="J4" s="1657"/>
      <c r="K4" s="1657"/>
      <c r="L4" s="1658"/>
      <c r="O4" s="1215" t="s">
        <v>830</v>
      </c>
      <c r="P4" s="117">
        <v>9</v>
      </c>
      <c r="Q4" s="803">
        <v>3</v>
      </c>
    </row>
    <row r="5" spans="1:17" ht="32.25" customHeight="1" thickTop="1" x14ac:dyDescent="0.3">
      <c r="A5" s="861"/>
      <c r="B5" s="1679" t="s">
        <v>101</v>
      </c>
      <c r="C5" s="1680"/>
      <c r="D5" s="1679" t="s">
        <v>102</v>
      </c>
      <c r="E5" s="1680"/>
      <c r="F5" s="1681"/>
      <c r="G5" s="1668" t="s">
        <v>219</v>
      </c>
      <c r="H5" s="1670" t="s">
        <v>224</v>
      </c>
      <c r="I5" s="1671"/>
      <c r="J5" s="1671"/>
      <c r="K5" s="1671"/>
      <c r="L5" s="1666" t="s">
        <v>222</v>
      </c>
      <c r="O5" s="1215" t="s">
        <v>831</v>
      </c>
      <c r="P5" s="117">
        <v>9</v>
      </c>
      <c r="Q5" s="803">
        <v>4</v>
      </c>
    </row>
    <row r="6" spans="1:17" ht="15" customHeight="1" x14ac:dyDescent="0.3">
      <c r="A6" s="861"/>
      <c r="B6" s="323"/>
      <c r="C6" s="324"/>
      <c r="D6" s="323"/>
      <c r="E6" s="324"/>
      <c r="F6" s="325"/>
      <c r="G6" s="1669"/>
      <c r="H6" s="1675" t="s">
        <v>217</v>
      </c>
      <c r="I6" s="326" t="s">
        <v>89</v>
      </c>
      <c r="J6" s="326" t="s">
        <v>24</v>
      </c>
      <c r="K6" s="327" t="s">
        <v>112</v>
      </c>
      <c r="L6" s="1667"/>
      <c r="O6" s="1215" t="s">
        <v>832</v>
      </c>
      <c r="P6" s="117">
        <v>9</v>
      </c>
      <c r="Q6" s="803">
        <v>5</v>
      </c>
    </row>
    <row r="7" spans="1:17" ht="18" customHeight="1" thickBot="1" x14ac:dyDescent="0.35">
      <c r="A7" s="861"/>
      <c r="B7" s="1688"/>
      <c r="C7" s="1689"/>
      <c r="D7" s="1688"/>
      <c r="E7" s="1689"/>
      <c r="F7" s="1690"/>
      <c r="G7" s="331" t="s">
        <v>113</v>
      </c>
      <c r="H7" s="1676"/>
      <c r="I7" s="332" t="s">
        <v>76</v>
      </c>
      <c r="J7" s="332" t="s">
        <v>76</v>
      </c>
      <c r="K7" s="333" t="s">
        <v>113</v>
      </c>
      <c r="L7" s="334" t="s">
        <v>113</v>
      </c>
      <c r="O7" s="1215" t="s">
        <v>833</v>
      </c>
      <c r="P7" s="117">
        <v>10</v>
      </c>
      <c r="Q7" s="803">
        <v>6</v>
      </c>
    </row>
    <row r="8" spans="1:17" ht="28.5" customHeight="1" thickTop="1" x14ac:dyDescent="0.3">
      <c r="A8" s="861"/>
      <c r="B8" s="336" t="s">
        <v>103</v>
      </c>
      <c r="C8" s="337"/>
      <c r="D8" s="1691" t="s">
        <v>104</v>
      </c>
      <c r="E8" s="1691"/>
      <c r="F8" s="1691"/>
      <c r="G8" s="338">
        <v>20</v>
      </c>
      <c r="H8" s="339" t="s">
        <v>114</v>
      </c>
      <c r="I8" s="340">
        <v>4</v>
      </c>
      <c r="J8" s="340">
        <v>4.5999999999999996</v>
      </c>
      <c r="K8" s="341">
        <v>20</v>
      </c>
      <c r="L8" s="342">
        <v>139</v>
      </c>
      <c r="O8" s="479" t="s">
        <v>633</v>
      </c>
      <c r="P8" s="117">
        <v>11</v>
      </c>
      <c r="Q8" s="803">
        <v>7</v>
      </c>
    </row>
    <row r="9" spans="1:17" ht="39" customHeight="1" x14ac:dyDescent="0.3">
      <c r="A9" s="861"/>
      <c r="B9" s="344" t="s">
        <v>105</v>
      </c>
      <c r="C9" s="345" t="s">
        <v>210</v>
      </c>
      <c r="D9" s="1662" t="s">
        <v>106</v>
      </c>
      <c r="E9" s="1662"/>
      <c r="F9" s="1662"/>
      <c r="G9" s="1659">
        <v>12</v>
      </c>
      <c r="H9" s="1643" t="s">
        <v>218</v>
      </c>
      <c r="I9" s="1645">
        <v>4</v>
      </c>
      <c r="J9" s="1645">
        <v>4.5999999999999996</v>
      </c>
      <c r="K9" s="1653">
        <v>12</v>
      </c>
      <c r="L9" s="346">
        <v>139</v>
      </c>
      <c r="O9" s="479" t="s">
        <v>634</v>
      </c>
      <c r="P9" s="117">
        <v>12</v>
      </c>
      <c r="Q9" s="803">
        <v>8</v>
      </c>
    </row>
    <row r="10" spans="1:17" ht="17.25" customHeight="1" x14ac:dyDescent="0.3">
      <c r="A10" s="861"/>
      <c r="B10" s="347"/>
      <c r="C10" s="1663" t="s">
        <v>211</v>
      </c>
      <c r="D10" s="1682" t="s">
        <v>107</v>
      </c>
      <c r="E10" s="1683"/>
      <c r="F10" s="1684"/>
      <c r="G10" s="1659"/>
      <c r="H10" s="1644"/>
      <c r="I10" s="1646"/>
      <c r="J10" s="1646"/>
      <c r="K10" s="1654"/>
      <c r="L10" s="1641">
        <v>279</v>
      </c>
      <c r="O10" s="479" t="s">
        <v>635</v>
      </c>
      <c r="P10" s="117">
        <v>13</v>
      </c>
      <c r="Q10" s="803">
        <v>9</v>
      </c>
    </row>
    <row r="11" spans="1:17" ht="15" customHeight="1" x14ac:dyDescent="0.3">
      <c r="A11" s="861"/>
      <c r="B11" s="347"/>
      <c r="C11" s="1654"/>
      <c r="D11" s="1685"/>
      <c r="E11" s="1686"/>
      <c r="F11" s="1687"/>
      <c r="G11" s="1659"/>
      <c r="H11" s="1664" t="s">
        <v>220</v>
      </c>
      <c r="I11" s="1645">
        <v>4.5999999999999996</v>
      </c>
      <c r="J11" s="1645">
        <v>4</v>
      </c>
      <c r="K11" s="1673">
        <v>12</v>
      </c>
      <c r="L11" s="1642"/>
      <c r="O11" s="479" t="s">
        <v>636</v>
      </c>
      <c r="P11" s="117">
        <v>14</v>
      </c>
      <c r="Q11" s="803">
        <v>10</v>
      </c>
    </row>
    <row r="12" spans="1:17" ht="30" customHeight="1" x14ac:dyDescent="0.3">
      <c r="A12" s="861"/>
      <c r="B12" s="350"/>
      <c r="C12" s="345" t="s">
        <v>212</v>
      </c>
      <c r="D12" s="1662" t="s">
        <v>108</v>
      </c>
      <c r="E12" s="1662"/>
      <c r="F12" s="1662"/>
      <c r="G12" s="1659"/>
      <c r="H12" s="1665"/>
      <c r="I12" s="1672"/>
      <c r="J12" s="1672"/>
      <c r="K12" s="1674"/>
      <c r="L12" s="346">
        <v>372</v>
      </c>
      <c r="O12" s="479" t="s">
        <v>637</v>
      </c>
      <c r="P12" s="117">
        <v>15</v>
      </c>
      <c r="Q12" s="803">
        <v>11</v>
      </c>
    </row>
    <row r="13" spans="1:17" ht="28.5" customHeight="1" x14ac:dyDescent="0.3">
      <c r="A13" s="861"/>
      <c r="B13" s="344" t="s">
        <v>109</v>
      </c>
      <c r="C13" s="345" t="s">
        <v>210</v>
      </c>
      <c r="D13" s="1662" t="s">
        <v>110</v>
      </c>
      <c r="E13" s="1662"/>
      <c r="F13" s="1662"/>
      <c r="G13" s="1659">
        <v>9</v>
      </c>
      <c r="H13" s="1647" t="s">
        <v>114</v>
      </c>
      <c r="I13" s="1649">
        <v>3.7</v>
      </c>
      <c r="J13" s="1649">
        <v>3.7</v>
      </c>
      <c r="K13" s="1651">
        <v>9</v>
      </c>
      <c r="L13" s="346">
        <v>372</v>
      </c>
      <c r="O13" s="479" t="s">
        <v>638</v>
      </c>
      <c r="P13" s="117">
        <v>16</v>
      </c>
      <c r="Q13" s="803">
        <v>12</v>
      </c>
    </row>
    <row r="14" spans="1:17" ht="29.25" customHeight="1" thickBot="1" x14ac:dyDescent="0.35">
      <c r="A14" s="861"/>
      <c r="B14" s="351"/>
      <c r="C14" s="352" t="s">
        <v>211</v>
      </c>
      <c r="D14" s="1661" t="s">
        <v>111</v>
      </c>
      <c r="E14" s="1661"/>
      <c r="F14" s="1661"/>
      <c r="G14" s="1660"/>
      <c r="H14" s="1648"/>
      <c r="I14" s="1650"/>
      <c r="J14" s="1650"/>
      <c r="K14" s="1652"/>
      <c r="L14" s="353">
        <v>465</v>
      </c>
      <c r="O14" s="479" t="s">
        <v>639</v>
      </c>
      <c r="P14" s="117">
        <v>17</v>
      </c>
      <c r="Q14" s="803">
        <v>13</v>
      </c>
    </row>
    <row r="15" spans="1:17" ht="12.9" thickTop="1" x14ac:dyDescent="0.3">
      <c r="A15" s="861"/>
      <c r="B15" s="354" t="s">
        <v>115</v>
      </c>
      <c r="C15" s="1677" t="s">
        <v>221</v>
      </c>
      <c r="D15" s="1678"/>
      <c r="E15" s="1678"/>
      <c r="F15" s="1678"/>
      <c r="G15" s="355"/>
      <c r="O15" s="479" t="s">
        <v>640</v>
      </c>
      <c r="P15" s="117">
        <v>18</v>
      </c>
      <c r="Q15" s="803">
        <v>14</v>
      </c>
    </row>
    <row r="16" spans="1:17" ht="12.9" thickBot="1" x14ac:dyDescent="0.35">
      <c r="A16" s="861"/>
      <c r="B16" s="356"/>
      <c r="C16" s="357" t="s">
        <v>116</v>
      </c>
      <c r="D16" s="356"/>
      <c r="E16" s="356"/>
      <c r="F16" s="356"/>
      <c r="O16" s="479" t="s">
        <v>318</v>
      </c>
      <c r="P16" s="117">
        <v>1</v>
      </c>
      <c r="Q16" s="803">
        <v>15</v>
      </c>
    </row>
    <row r="17" spans="1:17" ht="11.25" customHeight="1" thickTop="1" thickBot="1" x14ac:dyDescent="0.35">
      <c r="A17" s="861"/>
      <c r="O17" s="479" t="s">
        <v>319</v>
      </c>
      <c r="P17" s="117">
        <v>2</v>
      </c>
      <c r="Q17" s="803">
        <v>16</v>
      </c>
    </row>
    <row r="18" spans="1:17" ht="33.75" customHeight="1" thickTop="1" thickBot="1" x14ac:dyDescent="0.35">
      <c r="A18" s="861"/>
      <c r="B18" s="448" t="s">
        <v>145</v>
      </c>
      <c r="C18" s="1696" t="s">
        <v>225</v>
      </c>
      <c r="D18" s="1697"/>
      <c r="E18" s="1697"/>
      <c r="F18" s="1697"/>
      <c r="G18" s="358"/>
      <c r="I18" s="359">
        <f>I8*J8</f>
        <v>18.399999999999999</v>
      </c>
      <c r="J18" s="359">
        <f>EVEN(L8/G8)</f>
        <v>8</v>
      </c>
      <c r="K18" s="360">
        <f>ODD(1.2*(SQRT(L8)/I8))-1</f>
        <v>4</v>
      </c>
      <c r="O18" s="343" t="s">
        <v>320</v>
      </c>
      <c r="P18" s="117">
        <v>3</v>
      </c>
      <c r="Q18" s="803">
        <v>17</v>
      </c>
    </row>
    <row r="19" spans="1:17" ht="15.75" customHeight="1" thickTop="1" x14ac:dyDescent="0.3">
      <c r="A19" s="861"/>
      <c r="B19" s="1703" t="s">
        <v>101</v>
      </c>
      <c r="C19" s="1704"/>
      <c r="D19" s="322" t="s">
        <v>227</v>
      </c>
      <c r="E19" s="361" t="s">
        <v>205</v>
      </c>
      <c r="F19" s="322" t="s">
        <v>227</v>
      </c>
      <c r="I19" s="359">
        <f>I9*J9</f>
        <v>18.399999999999999</v>
      </c>
      <c r="J19" s="359">
        <f>EVEN(L9/G9)</f>
        <v>12</v>
      </c>
      <c r="K19" s="360">
        <f>ODD(1.2*(SQRT(L9)/I9))-1</f>
        <v>4</v>
      </c>
      <c r="O19" s="343" t="s">
        <v>321</v>
      </c>
      <c r="P19" s="117">
        <v>4</v>
      </c>
      <c r="Q19" s="803">
        <v>18</v>
      </c>
    </row>
    <row r="20" spans="1:17" ht="15.75" customHeight="1" x14ac:dyDescent="0.3">
      <c r="A20" s="861"/>
      <c r="B20" s="327"/>
      <c r="C20" s="327"/>
      <c r="D20" s="328" t="s">
        <v>9</v>
      </c>
      <c r="E20" s="327" t="s">
        <v>229</v>
      </c>
      <c r="F20" s="328" t="s">
        <v>234</v>
      </c>
      <c r="I20" s="359">
        <f>I11*J11</f>
        <v>18.399999999999999</v>
      </c>
      <c r="J20" s="359">
        <f>EVEN(L10/G9)</f>
        <v>24</v>
      </c>
      <c r="K20" s="360">
        <f>ODD(1.2*(SQRT(L10)/I9))-1</f>
        <v>6</v>
      </c>
      <c r="O20" s="343" t="s">
        <v>322</v>
      </c>
      <c r="P20" s="117">
        <v>5</v>
      </c>
      <c r="Q20" s="803">
        <v>19</v>
      </c>
    </row>
    <row r="21" spans="1:17" ht="12.9" thickBot="1" x14ac:dyDescent="0.35">
      <c r="A21" s="861"/>
      <c r="B21" s="362"/>
      <c r="C21" s="333"/>
      <c r="D21" s="334" t="s">
        <v>228</v>
      </c>
      <c r="E21" s="363" t="s">
        <v>230</v>
      </c>
      <c r="F21" s="334" t="s">
        <v>235</v>
      </c>
      <c r="I21" s="359">
        <f>I13*J13</f>
        <v>13.690000000000001</v>
      </c>
      <c r="J21" s="359">
        <f>EVEN(L12/G9)</f>
        <v>32</v>
      </c>
      <c r="K21" s="360">
        <f>ODD(1.2*(SQRT(L12)/I9))-1</f>
        <v>6</v>
      </c>
      <c r="O21" s="343" t="s">
        <v>323</v>
      </c>
      <c r="P21" s="117">
        <v>6</v>
      </c>
      <c r="Q21" s="803">
        <v>20</v>
      </c>
    </row>
    <row r="22" spans="1:17" ht="14.6" thickTop="1" x14ac:dyDescent="0.3">
      <c r="A22" s="861"/>
      <c r="B22" s="364" t="s">
        <v>103</v>
      </c>
      <c r="C22" s="365"/>
      <c r="D22" s="366">
        <v>10</v>
      </c>
      <c r="E22" s="367" t="s">
        <v>231</v>
      </c>
      <c r="F22" s="368">
        <v>0.375</v>
      </c>
      <c r="I22" s="360"/>
      <c r="J22" s="359">
        <f>EVEN(L13/G13)</f>
        <v>42</v>
      </c>
      <c r="K22" s="360">
        <f>ODD(1.2*(SQRT(L13)/I13))-1</f>
        <v>6</v>
      </c>
      <c r="O22" s="343" t="s">
        <v>215</v>
      </c>
      <c r="P22" s="117">
        <v>7</v>
      </c>
      <c r="Q22" s="803">
        <v>21</v>
      </c>
    </row>
    <row r="23" spans="1:17" ht="14.15" x14ac:dyDescent="0.3">
      <c r="A23" s="861"/>
      <c r="B23" s="369" t="s">
        <v>226</v>
      </c>
      <c r="C23" s="370" t="s">
        <v>109</v>
      </c>
      <c r="D23" s="371">
        <v>15</v>
      </c>
      <c r="E23" s="372" t="s">
        <v>232</v>
      </c>
      <c r="F23" s="373">
        <v>0.5</v>
      </c>
      <c r="I23" s="360"/>
      <c r="J23" s="359">
        <f>EVEN(L14/G13)</f>
        <v>52</v>
      </c>
      <c r="K23" s="360">
        <f>ODD(1.2*(SQRT(L14)/I13))-1</f>
        <v>6</v>
      </c>
      <c r="O23" s="289" t="s">
        <v>317</v>
      </c>
      <c r="P23" s="289" t="s">
        <v>216</v>
      </c>
    </row>
    <row r="24" spans="1:17" ht="14.6" thickBot="1" x14ac:dyDescent="0.35">
      <c r="A24" s="861"/>
      <c r="B24" s="374" t="s">
        <v>109</v>
      </c>
      <c r="C24" s="375"/>
      <c r="D24" s="376">
        <v>20</v>
      </c>
      <c r="E24" s="377" t="s">
        <v>233</v>
      </c>
      <c r="F24" s="378">
        <v>0.75</v>
      </c>
    </row>
    <row r="25" spans="1:17" ht="12.75" customHeight="1" thickTop="1" thickBot="1" x14ac:dyDescent="0.35">
      <c r="A25" s="861"/>
    </row>
    <row r="26" spans="1:17" ht="45" customHeight="1" thickTop="1" thickBot="1" x14ac:dyDescent="0.35">
      <c r="A26" s="861"/>
      <c r="B26" s="447" t="s">
        <v>198</v>
      </c>
      <c r="C26" s="1655" t="s">
        <v>236</v>
      </c>
      <c r="D26" s="1655"/>
      <c r="E26" s="1655"/>
      <c r="F26" s="321"/>
    </row>
    <row r="27" spans="1:17" ht="14.25" customHeight="1" thickTop="1" x14ac:dyDescent="0.3">
      <c r="A27" s="861"/>
      <c r="B27" s="1699" t="s">
        <v>101</v>
      </c>
      <c r="C27" s="1700"/>
      <c r="D27" s="380" t="s">
        <v>227</v>
      </c>
      <c r="E27" s="381" t="s">
        <v>237</v>
      </c>
    </row>
    <row r="28" spans="1:17" ht="15" customHeight="1" x14ac:dyDescent="0.3">
      <c r="A28" s="861"/>
      <c r="B28" s="379"/>
      <c r="C28" s="382"/>
      <c r="D28" s="380" t="s">
        <v>9</v>
      </c>
      <c r="E28" s="380" t="s">
        <v>238</v>
      </c>
    </row>
    <row r="29" spans="1:17" ht="12.9" thickBot="1" x14ac:dyDescent="0.35">
      <c r="A29" s="861"/>
      <c r="B29" s="383"/>
      <c r="C29" s="331"/>
      <c r="D29" s="334" t="s">
        <v>228</v>
      </c>
      <c r="E29" s="334" t="s">
        <v>239</v>
      </c>
    </row>
    <row r="30" spans="1:17" ht="15.75" customHeight="1" thickTop="1" thickBot="1" x14ac:dyDescent="0.35">
      <c r="A30" s="861"/>
      <c r="B30" s="1701" t="s">
        <v>103</v>
      </c>
      <c r="C30" s="1702"/>
      <c r="D30" s="384">
        <v>25</v>
      </c>
      <c r="E30" s="385">
        <v>2</v>
      </c>
    </row>
    <row r="31" spans="1:17" ht="13.5" customHeight="1" thickTop="1" thickBot="1" x14ac:dyDescent="0.35">
      <c r="A31" s="861"/>
      <c r="B31" s="386"/>
      <c r="C31" s="387"/>
      <c r="D31" s="388">
        <v>32</v>
      </c>
      <c r="E31" s="389">
        <v>3</v>
      </c>
    </row>
    <row r="32" spans="1:17" ht="13.5" customHeight="1" thickTop="1" thickBot="1" x14ac:dyDescent="0.35">
      <c r="A32" s="861"/>
      <c r="B32" s="386"/>
      <c r="C32" s="387"/>
      <c r="D32" s="388">
        <v>40</v>
      </c>
      <c r="E32" s="389">
        <v>5</v>
      </c>
    </row>
    <row r="33" spans="1:5" ht="13.5" customHeight="1" thickTop="1" thickBot="1" x14ac:dyDescent="0.35">
      <c r="A33" s="861"/>
      <c r="B33" s="386"/>
      <c r="C33" s="387"/>
      <c r="D33" s="388">
        <v>50</v>
      </c>
      <c r="E33" s="389">
        <v>10</v>
      </c>
    </row>
    <row r="34" spans="1:5" ht="13.5" customHeight="1" thickTop="1" thickBot="1" x14ac:dyDescent="0.35">
      <c r="A34" s="861"/>
      <c r="B34" s="386"/>
      <c r="C34" s="387"/>
      <c r="D34" s="388">
        <v>65</v>
      </c>
      <c r="E34" s="389">
        <v>30</v>
      </c>
    </row>
    <row r="35" spans="1:5" ht="13.5" customHeight="1" thickTop="1" thickBot="1" x14ac:dyDescent="0.35">
      <c r="A35" s="861"/>
      <c r="B35" s="390"/>
      <c r="C35" s="391"/>
      <c r="D35" s="392">
        <v>80</v>
      </c>
      <c r="E35" s="393">
        <v>60</v>
      </c>
    </row>
    <row r="36" spans="1:5" ht="13.5" customHeight="1" thickTop="1" x14ac:dyDescent="0.3">
      <c r="A36" s="861"/>
      <c r="B36" s="394" t="s">
        <v>105</v>
      </c>
      <c r="C36" s="395"/>
      <c r="D36" s="396">
        <v>25</v>
      </c>
      <c r="E36" s="385">
        <v>2</v>
      </c>
    </row>
    <row r="37" spans="1:5" ht="13.5" customHeight="1" x14ac:dyDescent="0.3">
      <c r="A37" s="861"/>
      <c r="B37" s="397"/>
      <c r="C37" s="398"/>
      <c r="D37" s="388">
        <v>32</v>
      </c>
      <c r="E37" s="389">
        <v>3</v>
      </c>
    </row>
    <row r="38" spans="1:5" ht="13.5" customHeight="1" x14ac:dyDescent="0.3">
      <c r="A38" s="861"/>
      <c r="B38" s="397"/>
      <c r="C38" s="398"/>
      <c r="D38" s="388">
        <v>40</v>
      </c>
      <c r="E38" s="389">
        <v>5</v>
      </c>
    </row>
    <row r="39" spans="1:5" ht="13.5" customHeight="1" x14ac:dyDescent="0.3">
      <c r="A39" s="861"/>
      <c r="B39" s="397"/>
      <c r="C39" s="398"/>
      <c r="D39" s="388">
        <v>50</v>
      </c>
      <c r="E39" s="389">
        <v>10</v>
      </c>
    </row>
    <row r="40" spans="1:5" ht="13.5" customHeight="1" x14ac:dyDescent="0.3">
      <c r="A40" s="861"/>
      <c r="B40" s="397"/>
      <c r="C40" s="398"/>
      <c r="D40" s="388">
        <v>65</v>
      </c>
      <c r="E40" s="389">
        <v>20</v>
      </c>
    </row>
    <row r="41" spans="1:5" ht="13.5" customHeight="1" x14ac:dyDescent="0.3">
      <c r="A41" s="861"/>
      <c r="B41" s="397"/>
      <c r="C41" s="398"/>
      <c r="D41" s="388">
        <v>80</v>
      </c>
      <c r="E41" s="399">
        <v>40</v>
      </c>
    </row>
    <row r="42" spans="1:5" ht="13.5" customHeight="1" thickBot="1" x14ac:dyDescent="0.35">
      <c r="A42" s="861"/>
      <c r="B42" s="374"/>
      <c r="C42" s="375"/>
      <c r="D42" s="392">
        <v>100</v>
      </c>
      <c r="E42" s="393">
        <v>100</v>
      </c>
    </row>
    <row r="43" spans="1:5" ht="13.5" customHeight="1" thickTop="1" x14ac:dyDescent="0.3">
      <c r="A43" s="861"/>
      <c r="B43" s="394" t="s">
        <v>109</v>
      </c>
      <c r="C43" s="395"/>
      <c r="D43" s="396">
        <v>25</v>
      </c>
      <c r="E43" s="385">
        <v>1</v>
      </c>
    </row>
    <row r="44" spans="1:5" ht="13.5" customHeight="1" x14ac:dyDescent="0.3">
      <c r="A44" s="861"/>
      <c r="B44" s="397"/>
      <c r="C44" s="398"/>
      <c r="D44" s="388">
        <v>32</v>
      </c>
      <c r="E44" s="389">
        <v>2</v>
      </c>
    </row>
    <row r="45" spans="1:5" ht="13.5" customHeight="1" x14ac:dyDescent="0.3">
      <c r="A45" s="861"/>
      <c r="B45" s="1705"/>
      <c r="C45" s="400"/>
      <c r="D45" s="388">
        <v>40</v>
      </c>
      <c r="E45" s="389">
        <v>5</v>
      </c>
    </row>
    <row r="46" spans="1:5" ht="13.5" customHeight="1" x14ac:dyDescent="0.3">
      <c r="A46" s="861"/>
      <c r="B46" s="1705"/>
      <c r="C46" s="400"/>
      <c r="D46" s="388">
        <v>50</v>
      </c>
      <c r="E46" s="389">
        <v>8</v>
      </c>
    </row>
    <row r="47" spans="1:5" ht="13.5" customHeight="1" x14ac:dyDescent="0.3">
      <c r="A47" s="861"/>
      <c r="B47" s="1705"/>
      <c r="C47" s="400"/>
      <c r="D47" s="388">
        <v>65</v>
      </c>
      <c r="E47" s="389">
        <v>15</v>
      </c>
    </row>
    <row r="48" spans="1:5" ht="13.5" customHeight="1" x14ac:dyDescent="0.3">
      <c r="A48" s="861"/>
      <c r="B48" s="1705"/>
      <c r="C48" s="400"/>
      <c r="D48" s="388">
        <v>80</v>
      </c>
      <c r="E48" s="399">
        <v>27</v>
      </c>
    </row>
    <row r="49" spans="1:6" ht="13.5" customHeight="1" thickBot="1" x14ac:dyDescent="0.35">
      <c r="A49" s="861"/>
      <c r="B49" s="1706"/>
      <c r="C49" s="401"/>
      <c r="D49" s="392">
        <v>100</v>
      </c>
      <c r="E49" s="393">
        <v>55</v>
      </c>
    </row>
    <row r="50" spans="1:6" ht="15" customHeight="1" thickTop="1" thickBot="1" x14ac:dyDescent="0.35">
      <c r="A50" s="861"/>
      <c r="B50" s="402" t="s">
        <v>240</v>
      </c>
      <c r="C50" s="403"/>
      <c r="D50" s="404"/>
      <c r="E50" s="404"/>
      <c r="F50" s="405"/>
    </row>
    <row r="51" spans="1:6" ht="12.75" customHeight="1" thickTop="1" thickBot="1" x14ac:dyDescent="0.35">
      <c r="A51" s="861"/>
      <c r="B51" s="397"/>
      <c r="C51" s="406"/>
      <c r="D51" s="407"/>
      <c r="E51" s="407"/>
      <c r="F51" s="405"/>
    </row>
    <row r="52" spans="1:6" ht="30.75" customHeight="1" thickTop="1" thickBot="1" x14ac:dyDescent="0.4">
      <c r="A52" s="861"/>
      <c r="B52" s="447" t="s">
        <v>254</v>
      </c>
      <c r="C52" s="1655" t="s">
        <v>255</v>
      </c>
      <c r="D52" s="1655"/>
      <c r="E52" s="1655"/>
      <c r="F52" s="1698"/>
    </row>
    <row r="53" spans="1:6" ht="18" customHeight="1" thickTop="1" x14ac:dyDescent="0.3">
      <c r="A53" s="861"/>
      <c r="B53" s="1694" t="s">
        <v>101</v>
      </c>
      <c r="C53" s="1695"/>
      <c r="D53" s="408" t="s">
        <v>45</v>
      </c>
      <c r="E53" s="408" t="s">
        <v>244</v>
      </c>
      <c r="F53" s="409" t="s">
        <v>246</v>
      </c>
    </row>
    <row r="54" spans="1:6" ht="15" customHeight="1" thickBot="1" x14ac:dyDescent="0.35">
      <c r="A54" s="861"/>
      <c r="B54" s="329"/>
      <c r="C54" s="330"/>
      <c r="D54" s="334" t="s">
        <v>248</v>
      </c>
      <c r="E54" s="334" t="s">
        <v>245</v>
      </c>
      <c r="F54" s="334" t="s">
        <v>247</v>
      </c>
    </row>
    <row r="55" spans="1:6" ht="16.5" customHeight="1" thickTop="1" thickBot="1" x14ac:dyDescent="0.35">
      <c r="A55" s="861"/>
      <c r="B55" s="410" t="s">
        <v>103</v>
      </c>
      <c r="C55" s="411"/>
      <c r="D55" s="412">
        <v>225</v>
      </c>
      <c r="E55" s="413" t="s">
        <v>249</v>
      </c>
      <c r="F55" s="414">
        <v>30</v>
      </c>
    </row>
    <row r="56" spans="1:6" ht="16.5" customHeight="1" thickTop="1" x14ac:dyDescent="0.3">
      <c r="A56" s="861"/>
      <c r="B56" s="415" t="s">
        <v>105</v>
      </c>
      <c r="C56" s="416" t="s">
        <v>210</v>
      </c>
      <c r="D56" s="417">
        <v>375</v>
      </c>
      <c r="E56" s="418" t="s">
        <v>251</v>
      </c>
      <c r="F56" s="419">
        <v>60</v>
      </c>
    </row>
    <row r="57" spans="1:6" ht="16.5" customHeight="1" x14ac:dyDescent="0.3">
      <c r="A57" s="861"/>
      <c r="B57" s="347"/>
      <c r="C57" s="420"/>
      <c r="D57" s="421">
        <v>540</v>
      </c>
      <c r="E57" s="422" t="s">
        <v>252</v>
      </c>
      <c r="F57" s="423"/>
    </row>
    <row r="58" spans="1:6" ht="17.25" customHeight="1" x14ac:dyDescent="0.3">
      <c r="A58" s="861"/>
      <c r="B58" s="347"/>
      <c r="C58" s="348" t="s">
        <v>211</v>
      </c>
      <c r="D58" s="421">
        <v>725</v>
      </c>
      <c r="E58" s="422" t="s">
        <v>250</v>
      </c>
      <c r="F58" s="424"/>
    </row>
    <row r="59" spans="1:6" ht="17.25" customHeight="1" x14ac:dyDescent="0.3">
      <c r="A59" s="861"/>
      <c r="B59" s="347"/>
      <c r="C59" s="349"/>
      <c r="D59" s="421">
        <v>1000</v>
      </c>
      <c r="E59" s="422" t="s">
        <v>251</v>
      </c>
      <c r="F59" s="424"/>
    </row>
    <row r="60" spans="1:6" ht="16.5" customHeight="1" x14ac:dyDescent="0.3">
      <c r="A60" s="861"/>
      <c r="B60" s="347"/>
      <c r="C60" s="425" t="s">
        <v>212</v>
      </c>
      <c r="D60" s="421">
        <v>1100</v>
      </c>
      <c r="E60" s="422" t="s">
        <v>253</v>
      </c>
      <c r="F60" s="423"/>
    </row>
    <row r="61" spans="1:6" ht="17.25" customHeight="1" thickBot="1" x14ac:dyDescent="0.35">
      <c r="A61" s="861"/>
      <c r="B61" s="351"/>
      <c r="C61" s="426"/>
      <c r="D61" s="427">
        <v>1350</v>
      </c>
      <c r="E61" s="428" t="s">
        <v>250</v>
      </c>
      <c r="F61" s="429"/>
    </row>
    <row r="62" spans="1:6" ht="27.75" customHeight="1" thickTop="1" thickBot="1" x14ac:dyDescent="0.35">
      <c r="A62" s="861"/>
      <c r="B62" s="430" t="s">
        <v>109</v>
      </c>
      <c r="C62" s="431"/>
      <c r="D62" s="432" t="s">
        <v>243</v>
      </c>
      <c r="E62" s="433" t="s">
        <v>250</v>
      </c>
      <c r="F62" s="434">
        <v>90</v>
      </c>
    </row>
    <row r="63" spans="1:6" ht="26.25" customHeight="1" thickTop="1" x14ac:dyDescent="0.3">
      <c r="A63" s="861"/>
      <c r="B63" s="1692" t="s">
        <v>242</v>
      </c>
      <c r="C63" s="1693"/>
      <c r="D63" s="1693"/>
      <c r="E63" s="1693"/>
      <c r="F63" s="1693"/>
    </row>
    <row r="64" spans="1:6" ht="12.9" thickBot="1" x14ac:dyDescent="0.35">
      <c r="A64" s="861"/>
      <c r="B64" s="435" t="s">
        <v>241</v>
      </c>
      <c r="C64" s="357"/>
      <c r="D64" s="356"/>
      <c r="E64" s="356"/>
      <c r="F64" s="356"/>
    </row>
    <row r="65" spans="1:10" ht="7.5" customHeight="1" thickTop="1" thickBot="1" x14ac:dyDescent="0.35">
      <c r="A65" s="861"/>
    </row>
    <row r="66" spans="1:10" ht="9.75" customHeight="1" thickTop="1" thickBot="1" x14ac:dyDescent="0.35">
      <c r="A66" s="862"/>
      <c r="B66" s="859"/>
      <c r="C66" s="859"/>
      <c r="D66" s="859"/>
      <c r="E66" s="859"/>
      <c r="F66" s="859"/>
      <c r="G66" s="859"/>
      <c r="H66" s="859"/>
      <c r="I66" s="859"/>
      <c r="J66" s="859"/>
    </row>
    <row r="67" spans="1:10" ht="12.9" thickTop="1" x14ac:dyDescent="0.3"/>
  </sheetData>
  <sheetProtection algorithmName="SHA-512" hashValue="yyea+0UiQS+OSrcxmXtN1GwIgN1dvveLKaTMxF6mngAxUgZyUecavybrbAgLtZ3udGb3bo3F0umpu3eKwjhoDw==" saltValue="Ln6ZaYt23H6nfqloFr274g==" spinCount="100000" sheet="1" objects="1" scenarios="1"/>
  <mergeCells count="42">
    <mergeCell ref="B63:F63"/>
    <mergeCell ref="B53:C53"/>
    <mergeCell ref="C18:F18"/>
    <mergeCell ref="C26:E26"/>
    <mergeCell ref="C52:F52"/>
    <mergeCell ref="B27:C27"/>
    <mergeCell ref="B30:C30"/>
    <mergeCell ref="B19:C19"/>
    <mergeCell ref="B45:B47"/>
    <mergeCell ref="B48:B49"/>
    <mergeCell ref="H6:H7"/>
    <mergeCell ref="C15:F15"/>
    <mergeCell ref="B5:C5"/>
    <mergeCell ref="D5:F5"/>
    <mergeCell ref="D10:F11"/>
    <mergeCell ref="B7:C7"/>
    <mergeCell ref="D7:F7"/>
    <mergeCell ref="D8:F8"/>
    <mergeCell ref="C4:L4"/>
    <mergeCell ref="G13:G14"/>
    <mergeCell ref="D14:F14"/>
    <mergeCell ref="D9:F9"/>
    <mergeCell ref="G9:G12"/>
    <mergeCell ref="D12:F12"/>
    <mergeCell ref="C10:C11"/>
    <mergeCell ref="D13:F13"/>
    <mergeCell ref="H11:H12"/>
    <mergeCell ref="L5:L6"/>
    <mergeCell ref="G5:G6"/>
    <mergeCell ref="H5:K5"/>
    <mergeCell ref="I11:I12"/>
    <mergeCell ref="J11:J12"/>
    <mergeCell ref="K11:K12"/>
    <mergeCell ref="J9:J10"/>
    <mergeCell ref="L10:L11"/>
    <mergeCell ref="H9:H10"/>
    <mergeCell ref="I9:I10"/>
    <mergeCell ref="H13:H14"/>
    <mergeCell ref="I13:I14"/>
    <mergeCell ref="J13:J14"/>
    <mergeCell ref="K13:K14"/>
    <mergeCell ref="K9:K10"/>
  </mergeCells>
  <phoneticPr fontId="0" type="noConversion"/>
  <pageMargins left="0.62" right="0.42" top="0.78" bottom="0.56999999999999995" header="0.55000000000000004" footer="0.36"/>
  <pageSetup paperSize="9" scale="65" orientation="portrait" r:id="rId1"/>
  <headerFooter alignWithMargins="0">
    <oddHeader>&amp;L&amp;12&amp;F</oddHeader>
    <oddFooter>&amp;L&amp;12&amp;A&amp;RAPTA - Associação de Produtores de Tubos e Acessórios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3">
    <tabColor indexed="16"/>
  </sheetPr>
  <dimension ref="A1:Q38"/>
  <sheetViews>
    <sheetView showGridLines="0" showRowColHeaders="0" zoomScale="110" zoomScaleNormal="110" workbookViewId="0">
      <selection activeCell="R24" sqref="R24"/>
    </sheetView>
  </sheetViews>
  <sheetFormatPr defaultColWidth="9.15234375" defaultRowHeight="12.45" x14ac:dyDescent="0.3"/>
  <cols>
    <col min="1" max="1" width="1.53515625" style="1" customWidth="1"/>
    <col min="2" max="2" width="18.3046875" style="1" customWidth="1"/>
    <col min="3" max="3" width="10.69140625" style="1" customWidth="1"/>
    <col min="4" max="4" width="11.69140625" style="1" customWidth="1"/>
    <col min="5" max="5" width="11.84375" style="1" customWidth="1"/>
    <col min="6" max="6" width="11.53515625" style="1" customWidth="1"/>
    <col min="7" max="7" width="10.3046875" style="1" customWidth="1"/>
    <col min="8" max="8" width="5.3046875" style="1" customWidth="1"/>
    <col min="9" max="9" width="17.3046875" style="1" customWidth="1"/>
    <col min="10" max="10" width="10.15234375" style="1" customWidth="1"/>
    <col min="11" max="11" width="11.53515625" style="1" customWidth="1"/>
    <col min="12" max="12" width="4.3828125" style="1" customWidth="1"/>
    <col min="13" max="13" width="9.15234375" style="1"/>
    <col min="14" max="14" width="15.3046875" style="1" customWidth="1"/>
    <col min="15" max="15" width="9.15234375" style="1"/>
    <col min="16" max="16" width="2" style="1" customWidth="1"/>
    <col min="17" max="17" width="1.53515625" style="1" customWidth="1"/>
    <col min="18" max="16384" width="9.15234375" style="1"/>
  </cols>
  <sheetData>
    <row r="1" spans="1:12" ht="12.9" thickTop="1" x14ac:dyDescent="0.3">
      <c r="A1" s="860"/>
    </row>
    <row r="2" spans="1:12" ht="23.25" customHeight="1" x14ac:dyDescent="0.3">
      <c r="A2" s="861"/>
      <c r="B2" s="1349"/>
      <c r="C2" s="1351"/>
      <c r="D2" s="1351"/>
      <c r="E2" s="1351"/>
      <c r="F2" s="1351"/>
      <c r="G2" s="1351"/>
      <c r="H2" s="1351"/>
      <c r="I2" s="1351"/>
      <c r="J2" s="1351"/>
    </row>
    <row r="3" spans="1:12" x14ac:dyDescent="0.3">
      <c r="A3" s="861"/>
    </row>
    <row r="4" spans="1:12" ht="17.600000000000001" x14ac:dyDescent="0.4">
      <c r="A4" s="861"/>
      <c r="B4" s="1353" t="s">
        <v>877</v>
      </c>
      <c r="I4" s="436" t="s">
        <v>645</v>
      </c>
    </row>
    <row r="5" spans="1:12" ht="12.9" thickBot="1" x14ac:dyDescent="0.35">
      <c r="A5" s="861"/>
    </row>
    <row r="6" spans="1:12" ht="13.3" thickTop="1" thickBot="1" x14ac:dyDescent="0.35">
      <c r="A6" s="861"/>
      <c r="B6" s="1354" t="s">
        <v>256</v>
      </c>
      <c r="C6" s="1707" t="s">
        <v>98</v>
      </c>
      <c r="D6" s="1708"/>
      <c r="E6" s="1709"/>
      <c r="F6" s="1710"/>
      <c r="I6" s="186" t="s">
        <v>256</v>
      </c>
      <c r="J6" s="1713" t="s">
        <v>98</v>
      </c>
      <c r="K6" s="1714"/>
    </row>
    <row r="7" spans="1:12" ht="14.6" thickTop="1" thickBot="1" x14ac:dyDescent="0.35">
      <c r="A7" s="861"/>
      <c r="B7" s="1354" t="s">
        <v>208</v>
      </c>
      <c r="C7" s="1355" t="s">
        <v>90</v>
      </c>
      <c r="D7" s="1355" t="s">
        <v>90</v>
      </c>
      <c r="E7" s="1355" t="s">
        <v>90</v>
      </c>
      <c r="F7" s="1355" t="s">
        <v>90</v>
      </c>
      <c r="I7" s="186" t="s">
        <v>208</v>
      </c>
      <c r="J7" s="44" t="s">
        <v>90</v>
      </c>
      <c r="K7" s="44" t="s">
        <v>90</v>
      </c>
    </row>
    <row r="8" spans="1:12" ht="13.3" thickTop="1" thickBot="1" x14ac:dyDescent="0.35">
      <c r="A8" s="861"/>
      <c r="B8" s="1356"/>
      <c r="C8" s="1357" t="s">
        <v>265</v>
      </c>
      <c r="D8" s="1357" t="s">
        <v>268</v>
      </c>
      <c r="E8" s="1357" t="s">
        <v>269</v>
      </c>
      <c r="F8" s="1357" t="s">
        <v>270</v>
      </c>
      <c r="J8" s="45" t="s">
        <v>266</v>
      </c>
      <c r="K8" s="45" t="s">
        <v>267</v>
      </c>
    </row>
    <row r="9" spans="1:12" ht="13.3" thickTop="1" thickBot="1" x14ac:dyDescent="0.35">
      <c r="A9" s="861"/>
      <c r="B9" s="1356"/>
      <c r="C9" s="1357"/>
      <c r="D9" s="1357"/>
      <c r="E9" s="1357"/>
      <c r="F9" s="1357"/>
      <c r="J9" s="188"/>
      <c r="K9" s="189"/>
    </row>
    <row r="10" spans="1:12" ht="12.9" thickTop="1" x14ac:dyDescent="0.3">
      <c r="A10" s="861"/>
      <c r="B10" s="1358">
        <v>139</v>
      </c>
      <c r="C10" s="1359">
        <v>4.0999999999999996</v>
      </c>
      <c r="D10" s="1359">
        <v>6.52</v>
      </c>
      <c r="E10" s="1359">
        <v>7.7</v>
      </c>
      <c r="F10" s="1359">
        <v>8.5</v>
      </c>
      <c r="I10" s="77">
        <v>232</v>
      </c>
      <c r="J10" s="31">
        <v>11.8</v>
      </c>
      <c r="K10" s="31">
        <v>15.1</v>
      </c>
    </row>
    <row r="11" spans="1:12" x14ac:dyDescent="0.3">
      <c r="A11" s="861"/>
      <c r="B11" s="1360">
        <f>186+6*9.3</f>
        <v>241.8</v>
      </c>
      <c r="C11" s="1361">
        <v>3.1</v>
      </c>
      <c r="D11" s="1361">
        <f>6.1-0.2*4</f>
        <v>5.3</v>
      </c>
      <c r="E11" s="1361">
        <f>6.7+0.4*0.2</f>
        <v>6.78</v>
      </c>
      <c r="F11" s="1361">
        <f>7.5+0.5*0.2</f>
        <v>7.6</v>
      </c>
      <c r="G11" s="175"/>
      <c r="I11" s="77">
        <v>279</v>
      </c>
      <c r="J11" s="31">
        <v>11.2</v>
      </c>
      <c r="K11" s="31">
        <v>14.5</v>
      </c>
    </row>
    <row r="12" spans="1:12" x14ac:dyDescent="0.3">
      <c r="A12" s="861"/>
      <c r="B12" s="1358">
        <v>279</v>
      </c>
      <c r="C12" s="1359">
        <f>2.7+0.5*0.2</f>
        <v>2.8000000000000003</v>
      </c>
      <c r="D12" s="1359">
        <v>4.9000000000000004</v>
      </c>
      <c r="E12" s="1359">
        <f>6.3+0.6*0.2</f>
        <v>6.42</v>
      </c>
      <c r="F12" s="1359">
        <v>7.3</v>
      </c>
      <c r="I12" s="77">
        <v>372</v>
      </c>
      <c r="J12" s="31">
        <v>10.1</v>
      </c>
      <c r="K12" s="31">
        <f>13.2+0.7*0.2</f>
        <v>13.34</v>
      </c>
    </row>
    <row r="13" spans="1:12" x14ac:dyDescent="0.3">
      <c r="A13" s="861"/>
      <c r="B13" s="1358">
        <v>372</v>
      </c>
      <c r="C13" s="1359">
        <v>2</v>
      </c>
      <c r="D13" s="1359">
        <f>3.9+0.6*0.2</f>
        <v>4.0199999999999996</v>
      </c>
      <c r="E13" s="1359">
        <f>5.5+0.7*0.2</f>
        <v>5.64</v>
      </c>
      <c r="F13" s="1359">
        <f>6.5+0.7*0.2</f>
        <v>6.64</v>
      </c>
      <c r="I13" s="438">
        <v>465</v>
      </c>
      <c r="J13" s="175">
        <f>8.7+0.9*0.2</f>
        <v>8.879999999999999</v>
      </c>
      <c r="K13" s="437">
        <f>12.2</f>
        <v>12.2</v>
      </c>
      <c r="L13" s="175" t="s">
        <v>261</v>
      </c>
    </row>
    <row r="14" spans="1:12" x14ac:dyDescent="0.3">
      <c r="A14" s="861"/>
      <c r="B14" s="1358">
        <v>465</v>
      </c>
      <c r="C14" s="1359"/>
      <c r="D14" s="1359">
        <v>3.3</v>
      </c>
      <c r="E14" s="1359">
        <v>4.9000000000000004</v>
      </c>
      <c r="F14" s="1359">
        <v>6.1</v>
      </c>
      <c r="I14" s="77">
        <v>557</v>
      </c>
      <c r="J14" s="31"/>
      <c r="K14" s="31">
        <v>11.2</v>
      </c>
    </row>
    <row r="15" spans="1:12" x14ac:dyDescent="0.3">
      <c r="A15" s="861"/>
      <c r="B15" s="1356"/>
      <c r="C15" s="1356"/>
      <c r="D15" s="1356"/>
      <c r="E15" s="1356"/>
      <c r="F15" s="1356"/>
    </row>
    <row r="16" spans="1:12" ht="12.9" thickBot="1" x14ac:dyDescent="0.35">
      <c r="A16" s="861"/>
      <c r="B16" s="1356"/>
      <c r="C16" s="1356"/>
      <c r="D16" s="1356"/>
      <c r="E16" s="1356"/>
      <c r="F16" s="1356"/>
    </row>
    <row r="17" spans="1:17" ht="13.3" thickTop="1" thickBot="1" x14ac:dyDescent="0.35">
      <c r="A17" s="861"/>
      <c r="B17" s="1707" t="s">
        <v>262</v>
      </c>
      <c r="C17" s="1711"/>
      <c r="D17" s="1712"/>
      <c r="E17" s="1356"/>
      <c r="F17" s="1356"/>
      <c r="I17" s="1713" t="s">
        <v>262</v>
      </c>
      <c r="J17" s="1715"/>
      <c r="K17" s="1716"/>
    </row>
    <row r="18" spans="1:17" ht="13.3" thickTop="1" thickBot="1" x14ac:dyDescent="0.35">
      <c r="A18" s="861"/>
      <c r="B18" s="1356"/>
      <c r="C18" s="1362" t="s">
        <v>256</v>
      </c>
      <c r="D18" s="1362" t="s">
        <v>98</v>
      </c>
      <c r="E18" s="1356"/>
      <c r="F18" s="1356"/>
      <c r="J18" s="186" t="s">
        <v>256</v>
      </c>
      <c r="K18" s="186" t="s">
        <v>98</v>
      </c>
    </row>
    <row r="19" spans="1:17" ht="14.6" thickTop="1" thickBot="1" x14ac:dyDescent="0.35">
      <c r="A19" s="861"/>
      <c r="B19" s="1356"/>
      <c r="C19" s="1354" t="s">
        <v>208</v>
      </c>
      <c r="D19" s="1355" t="s">
        <v>90</v>
      </c>
      <c r="E19" s="1356"/>
      <c r="F19" s="1356"/>
      <c r="J19" s="186" t="s">
        <v>208</v>
      </c>
      <c r="K19" s="44" t="s">
        <v>90</v>
      </c>
    </row>
    <row r="20" spans="1:17" ht="13.3" thickTop="1" thickBot="1" x14ac:dyDescent="0.35">
      <c r="A20" s="861"/>
      <c r="B20" s="1355" t="s">
        <v>257</v>
      </c>
      <c r="C20" s="1357">
        <v>465</v>
      </c>
      <c r="D20" s="1359">
        <f>CEILING(0.000004*C20^2-0.0112*C20+5.5681,0.01)</f>
        <v>1.23</v>
      </c>
      <c r="E20" s="1356"/>
      <c r="F20" s="1356"/>
      <c r="I20" s="44" t="s">
        <v>263</v>
      </c>
      <c r="J20" s="45">
        <v>232</v>
      </c>
      <c r="K20" s="77">
        <f>CEILING(-0.000003*J20^2-0.0104*J20+14.351,0.01)</f>
        <v>11.78</v>
      </c>
    </row>
    <row r="21" spans="1:17" ht="13.3" thickTop="1" thickBot="1" x14ac:dyDescent="0.35">
      <c r="A21" s="861"/>
      <c r="B21" s="1355" t="s">
        <v>258</v>
      </c>
      <c r="C21" s="1357">
        <f>C20</f>
        <v>465</v>
      </c>
      <c r="D21" s="1359">
        <f>CEILING(0.000009*C21^2-0.0154*C21+8.4806,0.01)</f>
        <v>3.27</v>
      </c>
      <c r="E21" s="1356"/>
      <c r="F21" s="1356"/>
      <c r="I21" s="44" t="s">
        <v>264</v>
      </c>
      <c r="J21" s="187">
        <f>J20</f>
        <v>232</v>
      </c>
      <c r="K21" s="77">
        <f>CEILING(0.000004*J21^2-0.015*J21+18.379,0.01)</f>
        <v>15.120000000000001</v>
      </c>
    </row>
    <row r="22" spans="1:17" ht="13.3" thickTop="1" thickBot="1" x14ac:dyDescent="0.35">
      <c r="A22" s="861"/>
      <c r="B22" s="1355" t="s">
        <v>259</v>
      </c>
      <c r="C22" s="1357">
        <f>C21</f>
        <v>465</v>
      </c>
      <c r="D22" s="1359">
        <f>CEILING(0.000003*C22^2-0.0101*C22+9.0632,0.01)</f>
        <v>5.0200000000000005</v>
      </c>
      <c r="E22" s="1356"/>
      <c r="F22" s="1356"/>
    </row>
    <row r="23" spans="1:17" ht="13.3" thickTop="1" thickBot="1" x14ac:dyDescent="0.35">
      <c r="A23" s="861"/>
      <c r="B23" s="1355" t="s">
        <v>260</v>
      </c>
      <c r="C23" s="1357">
        <f>C22</f>
        <v>465</v>
      </c>
      <c r="D23" s="1359">
        <f>CEILING(0.000006*C23^2-0.0113*C23+9.9444,0.01)</f>
        <v>5.99</v>
      </c>
      <c r="E23" s="1356"/>
      <c r="F23" s="1356"/>
    </row>
    <row r="24" spans="1:17" ht="12.9" thickTop="1" x14ac:dyDescent="0.3">
      <c r="A24" s="861"/>
    </row>
    <row r="25" spans="1:17" x14ac:dyDescent="0.3">
      <c r="A25" s="861"/>
    </row>
    <row r="26" spans="1:17" x14ac:dyDescent="0.3">
      <c r="A26" s="861"/>
    </row>
    <row r="27" spans="1:17" x14ac:dyDescent="0.3">
      <c r="A27" s="861"/>
    </row>
    <row r="28" spans="1:17" x14ac:dyDescent="0.3">
      <c r="A28" s="861"/>
      <c r="Q28" s="137"/>
    </row>
    <row r="29" spans="1:17" x14ac:dyDescent="0.3">
      <c r="A29" s="861"/>
    </row>
    <row r="30" spans="1:17" x14ac:dyDescent="0.3">
      <c r="A30" s="861"/>
    </row>
    <row r="31" spans="1:17" x14ac:dyDescent="0.3">
      <c r="A31" s="861"/>
    </row>
    <row r="32" spans="1:17" x14ac:dyDescent="0.3">
      <c r="A32" s="861"/>
    </row>
    <row r="33" spans="1:13" x14ac:dyDescent="0.3">
      <c r="A33" s="861"/>
    </row>
    <row r="34" spans="1:13" x14ac:dyDescent="0.3">
      <c r="A34" s="861"/>
    </row>
    <row r="35" spans="1:13" x14ac:dyDescent="0.3">
      <c r="A35" s="861"/>
    </row>
    <row r="36" spans="1:13" ht="12.9" thickBot="1" x14ac:dyDescent="0.35">
      <c r="A36" s="861"/>
    </row>
    <row r="37" spans="1:13" ht="9" customHeight="1" thickTop="1" thickBot="1" x14ac:dyDescent="0.35">
      <c r="A37" s="862"/>
      <c r="B37" s="859"/>
      <c r="C37" s="859"/>
      <c r="D37" s="859"/>
      <c r="E37" s="859"/>
      <c r="F37" s="859"/>
      <c r="G37" s="859"/>
      <c r="H37" s="859"/>
      <c r="I37" s="859"/>
      <c r="J37" s="859"/>
      <c r="K37" s="859"/>
      <c r="L37" s="859"/>
      <c r="M37" s="859"/>
    </row>
    <row r="38" spans="1:13" ht="12.9" thickTop="1" x14ac:dyDescent="0.3"/>
  </sheetData>
  <sheetProtection algorithmName="SHA-512" hashValue="+LAV8CSnfJ9BCFeYOT6+YGpTlJYVi0f9qbd2RD7HU3i7IA1danFQIUZWSdAp+/ozHGGi/RtKFbnRW+AW93aByQ==" saltValue="ZjWGS/eHhVwmjZFu1coYGw==" spinCount="100000" sheet="1" objects="1" scenarios="1" selectLockedCells="1" selectUnlockedCells="1"/>
  <mergeCells count="4">
    <mergeCell ref="C6:F6"/>
    <mergeCell ref="B17:D17"/>
    <mergeCell ref="J6:K6"/>
    <mergeCell ref="I17:K17"/>
  </mergeCells>
  <phoneticPr fontId="34" type="noConversion"/>
  <pageMargins left="0.68" right="0.65" top="1" bottom="1" header="0" footer="0"/>
  <pageSetup paperSize="9" scale="8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6">
    <tabColor indexed="16"/>
  </sheetPr>
  <dimension ref="A1:T105"/>
  <sheetViews>
    <sheetView showGridLines="0" showRowColHeaders="0" zoomScale="110" zoomScaleNormal="110" workbookViewId="0">
      <selection activeCell="B1" sqref="B1"/>
    </sheetView>
  </sheetViews>
  <sheetFormatPr defaultColWidth="9.15234375" defaultRowHeight="12.45" x14ac:dyDescent="0.3"/>
  <cols>
    <col min="1" max="1" width="1.53515625" style="1" customWidth="1"/>
    <col min="2" max="2" width="8.84375" style="1" customWidth="1"/>
    <col min="3" max="10" width="9.15234375" style="1"/>
    <col min="11" max="11" width="4.84375" style="1" customWidth="1"/>
    <col min="12" max="12" width="9.3046875" style="1" customWidth="1"/>
    <col min="13" max="14" width="0.69140625" style="1" customWidth="1"/>
    <col min="15" max="15" width="0.53515625" style="1" customWidth="1"/>
    <col min="16" max="19" width="9.15234375" style="1"/>
    <col min="20" max="20" width="7" style="1" customWidth="1"/>
    <col min="21" max="21" width="17.3046875" style="1" customWidth="1"/>
    <col min="22" max="22" width="1.3046875" style="1" customWidth="1"/>
    <col min="23" max="23" width="1.15234375" style="1" customWidth="1"/>
    <col min="24" max="24" width="0.53515625" style="1" customWidth="1"/>
    <col min="25" max="16384" width="9.15234375" style="1"/>
  </cols>
  <sheetData>
    <row r="1" spans="1:1" x14ac:dyDescent="0.3">
      <c r="A1" s="857"/>
    </row>
    <row r="2" spans="1:1" x14ac:dyDescent="0.3">
      <c r="A2" s="857"/>
    </row>
    <row r="3" spans="1:1" x14ac:dyDescent="0.3">
      <c r="A3" s="857"/>
    </row>
    <row r="4" spans="1:1" x14ac:dyDescent="0.3">
      <c r="A4" s="857"/>
    </row>
    <row r="5" spans="1:1" x14ac:dyDescent="0.3">
      <c r="A5" s="857"/>
    </row>
    <row r="6" spans="1:1" x14ac:dyDescent="0.3">
      <c r="A6" s="857"/>
    </row>
    <row r="7" spans="1:1" x14ac:dyDescent="0.3">
      <c r="A7" s="858"/>
    </row>
    <row r="8" spans="1:1" x14ac:dyDescent="0.3">
      <c r="A8" s="858"/>
    </row>
    <row r="9" spans="1:1" x14ac:dyDescent="0.3">
      <c r="A9" s="858"/>
    </row>
    <row r="10" spans="1:1" x14ac:dyDescent="0.3">
      <c r="A10" s="858"/>
    </row>
    <row r="11" spans="1:1" x14ac:dyDescent="0.3">
      <c r="A11" s="858"/>
    </row>
    <row r="12" spans="1:1" x14ac:dyDescent="0.3">
      <c r="A12" s="858"/>
    </row>
    <row r="13" spans="1:1" x14ac:dyDescent="0.3">
      <c r="A13" s="858"/>
    </row>
    <row r="14" spans="1:1" x14ac:dyDescent="0.3">
      <c r="A14" s="858"/>
    </row>
    <row r="15" spans="1:1" x14ac:dyDescent="0.3">
      <c r="A15" s="858"/>
    </row>
    <row r="16" spans="1:1" x14ac:dyDescent="0.3">
      <c r="A16" s="858"/>
    </row>
    <row r="17" spans="1:1" x14ac:dyDescent="0.3">
      <c r="A17" s="858"/>
    </row>
    <row r="18" spans="1:1" x14ac:dyDescent="0.3">
      <c r="A18" s="858"/>
    </row>
    <row r="19" spans="1:1" x14ac:dyDescent="0.3">
      <c r="A19" s="858"/>
    </row>
    <row r="20" spans="1:1" x14ac:dyDescent="0.3">
      <c r="A20" s="858"/>
    </row>
    <row r="21" spans="1:1" x14ac:dyDescent="0.3">
      <c r="A21" s="857"/>
    </row>
    <row r="22" spans="1:1" x14ac:dyDescent="0.3">
      <c r="A22" s="857"/>
    </row>
    <row r="23" spans="1:1" x14ac:dyDescent="0.3">
      <c r="A23" s="858"/>
    </row>
    <row r="24" spans="1:1" x14ac:dyDescent="0.3">
      <c r="A24" s="858"/>
    </row>
    <row r="25" spans="1:1" x14ac:dyDescent="0.3">
      <c r="A25" s="858"/>
    </row>
    <row r="26" spans="1:1" x14ac:dyDescent="0.3">
      <c r="A26" s="858"/>
    </row>
    <row r="27" spans="1:1" x14ac:dyDescent="0.3">
      <c r="A27" s="858"/>
    </row>
    <row r="28" spans="1:1" x14ac:dyDescent="0.3">
      <c r="A28" s="858"/>
    </row>
    <row r="29" spans="1:1" x14ac:dyDescent="0.3">
      <c r="A29" s="858"/>
    </row>
    <row r="30" spans="1:1" x14ac:dyDescent="0.3">
      <c r="A30" s="858"/>
    </row>
    <row r="31" spans="1:1" x14ac:dyDescent="0.3">
      <c r="A31" s="858"/>
    </row>
    <row r="32" spans="1:1" x14ac:dyDescent="0.3">
      <c r="A32" s="858"/>
    </row>
    <row r="33" spans="1:1" x14ac:dyDescent="0.3">
      <c r="A33" s="858"/>
    </row>
    <row r="34" spans="1:1" x14ac:dyDescent="0.3">
      <c r="A34" s="858"/>
    </row>
    <row r="35" spans="1:1" x14ac:dyDescent="0.3">
      <c r="A35" s="857"/>
    </row>
    <row r="36" spans="1:1" x14ac:dyDescent="0.3">
      <c r="A36" s="857"/>
    </row>
    <row r="37" spans="1:1" x14ac:dyDescent="0.3">
      <c r="A37" s="857"/>
    </row>
    <row r="38" spans="1:1" x14ac:dyDescent="0.3">
      <c r="A38" s="857"/>
    </row>
    <row r="39" spans="1:1" x14ac:dyDescent="0.3">
      <c r="A39" s="857"/>
    </row>
    <row r="40" spans="1:1" x14ac:dyDescent="0.3">
      <c r="A40" s="857"/>
    </row>
    <row r="41" spans="1:1" x14ac:dyDescent="0.3">
      <c r="A41" s="857"/>
    </row>
    <row r="42" spans="1:1" x14ac:dyDescent="0.3">
      <c r="A42" s="857"/>
    </row>
    <row r="43" spans="1:1" x14ac:dyDescent="0.3">
      <c r="A43" s="857"/>
    </row>
    <row r="44" spans="1:1" x14ac:dyDescent="0.3">
      <c r="A44" s="857"/>
    </row>
    <row r="45" spans="1:1" x14ac:dyDescent="0.3">
      <c r="A45" s="857"/>
    </row>
    <row r="46" spans="1:1" x14ac:dyDescent="0.3">
      <c r="A46" s="857"/>
    </row>
    <row r="47" spans="1:1" x14ac:dyDescent="0.3">
      <c r="A47" s="857"/>
    </row>
    <row r="48" spans="1:1" x14ac:dyDescent="0.3">
      <c r="A48" s="857"/>
    </row>
    <row r="49" spans="1:1" x14ac:dyDescent="0.3">
      <c r="A49" s="857"/>
    </row>
    <row r="50" spans="1:1" x14ac:dyDescent="0.3">
      <c r="A50" s="857"/>
    </row>
    <row r="51" spans="1:1" x14ac:dyDescent="0.3">
      <c r="A51" s="857"/>
    </row>
    <row r="52" spans="1:1" x14ac:dyDescent="0.3">
      <c r="A52" s="857"/>
    </row>
    <row r="53" spans="1:1" x14ac:dyDescent="0.3">
      <c r="A53" s="857"/>
    </row>
    <row r="54" spans="1:1" x14ac:dyDescent="0.3">
      <c r="A54" s="857"/>
    </row>
    <row r="55" spans="1:1" x14ac:dyDescent="0.3">
      <c r="A55" s="857"/>
    </row>
    <row r="56" spans="1:1" ht="9" customHeight="1" x14ac:dyDescent="0.3">
      <c r="A56" s="857"/>
    </row>
    <row r="57" spans="1:1" x14ac:dyDescent="0.3">
      <c r="A57" s="857"/>
    </row>
    <row r="58" spans="1:1" x14ac:dyDescent="0.3">
      <c r="A58" s="857"/>
    </row>
    <row r="59" spans="1:1" x14ac:dyDescent="0.3">
      <c r="A59" s="857"/>
    </row>
    <row r="60" spans="1:1" x14ac:dyDescent="0.3">
      <c r="A60" s="857"/>
    </row>
    <row r="61" spans="1:1" x14ac:dyDescent="0.3">
      <c r="A61" s="857"/>
    </row>
    <row r="62" spans="1:1" x14ac:dyDescent="0.3">
      <c r="A62" s="857"/>
    </row>
    <row r="63" spans="1:1" x14ac:dyDescent="0.3">
      <c r="A63" s="857"/>
    </row>
    <row r="64" spans="1:1" x14ac:dyDescent="0.3">
      <c r="A64" s="857"/>
    </row>
    <row r="65" spans="1:4" x14ac:dyDescent="0.3">
      <c r="A65" s="857"/>
    </row>
    <row r="66" spans="1:4" x14ac:dyDescent="0.3">
      <c r="A66" s="857"/>
    </row>
    <row r="67" spans="1:4" x14ac:dyDescent="0.3">
      <c r="A67" s="857"/>
    </row>
    <row r="68" spans="1:4" x14ac:dyDescent="0.3">
      <c r="A68" s="857"/>
    </row>
    <row r="69" spans="1:4" x14ac:dyDescent="0.3">
      <c r="A69" s="857"/>
    </row>
    <row r="70" spans="1:4" x14ac:dyDescent="0.3">
      <c r="A70" s="857"/>
    </row>
    <row r="71" spans="1:4" x14ac:dyDescent="0.3">
      <c r="A71" s="857"/>
    </row>
    <row r="72" spans="1:4" x14ac:dyDescent="0.3">
      <c r="A72" s="857"/>
    </row>
    <row r="73" spans="1:4" x14ac:dyDescent="0.3">
      <c r="A73" s="857"/>
    </row>
    <row r="74" spans="1:4" x14ac:dyDescent="0.3">
      <c r="A74" s="857"/>
    </row>
    <row r="75" spans="1:4" x14ac:dyDescent="0.3">
      <c r="A75" s="857"/>
      <c r="D75" s="201"/>
    </row>
    <row r="76" spans="1:4" ht="11.25" customHeight="1" x14ac:dyDescent="0.3">
      <c r="A76" s="857"/>
    </row>
    <row r="77" spans="1:4" x14ac:dyDescent="0.3">
      <c r="A77" s="857"/>
    </row>
    <row r="78" spans="1:4" x14ac:dyDescent="0.3">
      <c r="A78" s="857"/>
    </row>
    <row r="79" spans="1:4" x14ac:dyDescent="0.3">
      <c r="A79" s="857"/>
    </row>
    <row r="80" spans="1:4" x14ac:dyDescent="0.3">
      <c r="A80" s="857"/>
    </row>
    <row r="81" spans="1:1" x14ac:dyDescent="0.3">
      <c r="A81" s="857"/>
    </row>
    <row r="82" spans="1:1" x14ac:dyDescent="0.3">
      <c r="A82" s="857"/>
    </row>
    <row r="83" spans="1:1" x14ac:dyDescent="0.3">
      <c r="A83" s="857"/>
    </row>
    <row r="84" spans="1:1" x14ac:dyDescent="0.3">
      <c r="A84" s="857"/>
    </row>
    <row r="85" spans="1:1" x14ac:dyDescent="0.3">
      <c r="A85" s="857"/>
    </row>
    <row r="86" spans="1:1" x14ac:dyDescent="0.3">
      <c r="A86" s="857"/>
    </row>
    <row r="87" spans="1:1" x14ac:dyDescent="0.3">
      <c r="A87" s="857"/>
    </row>
    <row r="88" spans="1:1" x14ac:dyDescent="0.3">
      <c r="A88" s="857"/>
    </row>
    <row r="89" spans="1:1" x14ac:dyDescent="0.3">
      <c r="A89" s="857"/>
    </row>
    <row r="90" spans="1:1" x14ac:dyDescent="0.3">
      <c r="A90" s="857"/>
    </row>
    <row r="91" spans="1:1" x14ac:dyDescent="0.3">
      <c r="A91" s="857"/>
    </row>
    <row r="92" spans="1:1" x14ac:dyDescent="0.3">
      <c r="A92" s="857"/>
    </row>
    <row r="93" spans="1:1" x14ac:dyDescent="0.3">
      <c r="A93" s="857"/>
    </row>
    <row r="94" spans="1:1" x14ac:dyDescent="0.3">
      <c r="A94" s="857"/>
    </row>
    <row r="95" spans="1:1" x14ac:dyDescent="0.3">
      <c r="A95" s="857"/>
    </row>
    <row r="96" spans="1:1" x14ac:dyDescent="0.3">
      <c r="A96" s="857"/>
    </row>
    <row r="97" spans="1:20" x14ac:dyDescent="0.3">
      <c r="A97" s="857"/>
    </row>
    <row r="98" spans="1:20" ht="8.25" customHeight="1" x14ac:dyDescent="0.3">
      <c r="A98" s="857"/>
    </row>
    <row r="99" spans="1:20" x14ac:dyDescent="0.3">
      <c r="A99" s="857"/>
    </row>
    <row r="100" spans="1:20" x14ac:dyDescent="0.3">
      <c r="A100" s="857"/>
    </row>
    <row r="101" spans="1:20" ht="11.25" customHeight="1" x14ac:dyDescent="0.3">
      <c r="A101" s="857"/>
    </row>
    <row r="102" spans="1:20" ht="9.75" customHeight="1" x14ac:dyDescent="0.3">
      <c r="A102" s="857"/>
      <c r="B102" s="857"/>
      <c r="C102" s="858"/>
      <c r="D102" s="857"/>
      <c r="E102" s="857"/>
      <c r="F102" s="857"/>
      <c r="G102" s="857"/>
      <c r="H102" s="857"/>
      <c r="I102" s="857"/>
      <c r="J102" s="857"/>
      <c r="K102" s="857"/>
      <c r="L102" s="857"/>
      <c r="M102" s="857"/>
      <c r="N102" s="857"/>
      <c r="O102" s="857"/>
      <c r="P102" s="857"/>
      <c r="Q102" s="857"/>
      <c r="R102" s="857"/>
      <c r="S102" s="857"/>
      <c r="T102" s="857"/>
    </row>
    <row r="103" spans="1:20" ht="5.25" customHeight="1" x14ac:dyDescent="0.3"/>
    <row r="104" spans="1:20" ht="6" customHeight="1" x14ac:dyDescent="0.3"/>
    <row r="105" spans="1:20" ht="5.25" customHeight="1" x14ac:dyDescent="0.3"/>
  </sheetData>
  <sheetProtection algorithmName="SHA-512" hashValue="Qcfy19vqk7J3fO/bM24nWYXYZN+u/spIa7AWmzyXtnqeGjtLddyL5fvVilQxnQI6oSvIJdYZQbQDm7VyiNwJPw==" saltValue="fbj+zRjtku31jigNO6iBhw==" spinCount="100000" sheet="1" objects="1" scenarios="1"/>
  <phoneticPr fontId="34" type="noConversion"/>
  <pageMargins left="0.39370078740157483" right="0.23622047244094491" top="0.43307086614173229" bottom="0.43307086614173229" header="0" footer="0"/>
  <pageSetup paperSize="9" scale="6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11</vt:i4>
      </vt:variant>
      <vt:variant>
        <vt:lpstr>Intervalos com Nome</vt:lpstr>
      </vt:variant>
      <vt:variant>
        <vt:i4>10</vt:i4>
      </vt:variant>
    </vt:vector>
  </HeadingPairs>
  <TitlesOfParts>
    <vt:vector size="21" baseType="lpstr">
      <vt:lpstr>Cálc. Sist. Extinção Automática</vt:lpstr>
      <vt:lpstr>Curvas da Instalação</vt:lpstr>
      <vt:lpstr>Quadro 1</vt:lpstr>
      <vt:lpstr>Quadro 2</vt:lpstr>
      <vt:lpstr>Quadros 3 a 5-RTSCIE</vt:lpstr>
      <vt:lpstr>Quadros 3 a 5-EN 12845</vt:lpstr>
      <vt:lpstr>Quadros 3 a 6-NFPA 13</vt:lpstr>
      <vt:lpstr>Gráficos 1 e 2-NFPA 13</vt:lpstr>
      <vt:lpstr>Instruções</vt:lpstr>
      <vt:lpstr>Procedimento</vt:lpstr>
      <vt:lpstr>Conversões</vt:lpstr>
      <vt:lpstr>'Cálc. Sist. Extinção Automática'!Print_Area</vt:lpstr>
      <vt:lpstr>Conversões!Print_Area</vt:lpstr>
      <vt:lpstr>'Curvas da Instalação'!Print_Area</vt:lpstr>
      <vt:lpstr>'Gráficos 1 e 2-NFPA 13'!Print_Area</vt:lpstr>
      <vt:lpstr>Instruções!Print_Area</vt:lpstr>
      <vt:lpstr>Procedimento!Print_Area</vt:lpstr>
      <vt:lpstr>'Quadro 1'!Print_Area</vt:lpstr>
      <vt:lpstr>'Quadros 3 a 5-EN 12845'!Print_Area</vt:lpstr>
      <vt:lpstr>'Quadros 3 a 5-RTSCIE'!Print_Area</vt:lpstr>
      <vt:lpstr>'Quadros 3 a 6-NFPA 13'!Print_Area</vt:lpstr>
    </vt:vector>
  </TitlesOfParts>
  <Company>APTA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Gomes</dc:creator>
  <cp:lastModifiedBy>paulo gomes</cp:lastModifiedBy>
  <cp:lastPrinted>2024-02-22T09:25:05Z</cp:lastPrinted>
  <dcterms:created xsi:type="dcterms:W3CDTF">1998-06-25T13:20:52Z</dcterms:created>
  <dcterms:modified xsi:type="dcterms:W3CDTF">2024-04-23T08:45:32Z</dcterms:modified>
</cp:coreProperties>
</file>